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 activeTab="5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H2" i="15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l="1"/>
  <c r="B2" i="12" s="1"/>
  <c r="B4" i="12" l="1"/>
  <c r="B13" i="12" s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<sst xmlns="http://schemas.openxmlformats.org/spreadsheetml/2006/main" count="99" uniqueCount="68">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</sst>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0" fillId="0" borderId="0" xfId="0" applyNumberFormat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1738114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24846.845786666665</v>
      </c>
      <c r="C3" t="s">
        <v>10</v>
      </c>
    </row>
    <row r="4" spans="1:3" s="25" customFormat="1" x14ac:dyDescent="0.25">
      <c r="A4" s="3" t="s">
        <v>11</v>
      </c>
      <c r="B4" s="44">
        <f>SUM(B2:B3)</f>
        <v>1762960.8457866667</v>
      </c>
      <c r="C4" s="53" t="s">
        <v>10</v>
      </c>
    </row>
    <row r="5" spans="1:3" x14ac:dyDescent="0.25">
      <c r="A5" s="43" t="s">
        <v>0</v>
      </c>
      <c r="B5" s="35">
        <f>Investeringer!E3</f>
        <v>2007863.3552502403</v>
      </c>
      <c r="C5" s="22" t="s">
        <v>10</v>
      </c>
    </row>
    <row r="6" spans="1:3" x14ac:dyDescent="0.25">
      <c r="A6" s="4" t="s">
        <v>1</v>
      </c>
      <c r="B6" s="32">
        <f>Investeringer!F3</f>
        <v>553472</v>
      </c>
      <c r="C6" t="s">
        <v>10</v>
      </c>
    </row>
    <row r="7" spans="1:3" x14ac:dyDescent="0.25">
      <c r="A7" s="4" t="s">
        <v>2</v>
      </c>
      <c r="B7" s="32">
        <f>Investeringer!G3</f>
        <v>234897.26293247676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270356.11599999998</v>
      </c>
      <c r="C8" t="s">
        <v>10</v>
      </c>
    </row>
    <row r="9" spans="1:3" s="21" customFormat="1" x14ac:dyDescent="0.25">
      <c r="A9" s="3" t="s">
        <v>44</v>
      </c>
      <c r="B9" s="44">
        <f>SUM(B5:B8)</f>
        <v>3066588.7341827168</v>
      </c>
      <c r="C9" s="53" t="s">
        <v>10</v>
      </c>
    </row>
    <row r="10" spans="1:3" s="21" customFormat="1" x14ac:dyDescent="0.25">
      <c r="A10" s="4" t="s">
        <v>9</v>
      </c>
      <c r="B10" s="32">
        <f>'Ikke-påvirkelige omkostninger'!M2</f>
        <v>2473954</v>
      </c>
      <c r="C10" t="s">
        <v>10</v>
      </c>
    </row>
    <row r="11" spans="1:3" s="21" customFormat="1" x14ac:dyDescent="0.25">
      <c r="A11" s="3" t="s">
        <v>64</v>
      </c>
      <c r="B11" s="44">
        <f>SUM(B10:B10)</f>
        <v>2473954</v>
      </c>
      <c r="C11" s="53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7303503.5799693838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7368152.2947483417</v>
      </c>
      <c r="C15" s="26" t="s">
        <v>3</v>
      </c>
    </row>
    <row r="16" spans="1:3" ht="15.75" hidden="1" thickTop="1" x14ac:dyDescent="0.25">
      <c r="B16" s="52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1" customFormat="1" ht="60.75" thickBot="1" x14ac:dyDescent="0.3">
      <c r="A1" s="49" t="s">
        <v>12</v>
      </c>
      <c r="B1" s="50" t="s">
        <v>13</v>
      </c>
      <c r="C1" s="50" t="s">
        <v>55</v>
      </c>
      <c r="D1" s="50" t="s">
        <v>56</v>
      </c>
      <c r="E1" s="50" t="s">
        <v>49</v>
      </c>
      <c r="F1" s="48" t="s">
        <v>57</v>
      </c>
      <c r="G1" s="48" t="s">
        <v>65</v>
      </c>
      <c r="H1" s="48" t="s">
        <v>58</v>
      </c>
      <c r="I1" s="48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5">
        <v>1823466</v>
      </c>
      <c r="C2" s="45">
        <v>0</v>
      </c>
      <c r="D2" s="45">
        <f>B2+C2</f>
        <v>1823466</v>
      </c>
      <c r="E2" s="46">
        <f>D2</f>
        <v>1823466</v>
      </c>
      <c r="F2" s="45">
        <v>1775129</v>
      </c>
      <c r="G2" s="45">
        <v>0</v>
      </c>
      <c r="H2" s="45">
        <f>IF(ISNUMBER(F2),F2-G2,"")</f>
        <v>1775129</v>
      </c>
      <c r="I2" s="45">
        <f>AVERAGEIF(E2:E4,"&lt;&gt;0")</f>
        <v>1718274.233332</v>
      </c>
      <c r="J2" s="45">
        <v>1738114</v>
      </c>
      <c r="K2" s="62">
        <f t="shared" ref="K2" si="0">IF(OR(H2&gt;I2,H2=""),IF(OR(I2&gt;J2,J2=""),I2,J2),H2)</f>
        <v>1738114</v>
      </c>
    </row>
    <row r="3" spans="1:11" s="22" customFormat="1" x14ac:dyDescent="0.25">
      <c r="A3" s="27">
        <v>2014</v>
      </c>
      <c r="B3" s="45">
        <v>1717500</v>
      </c>
      <c r="C3" s="45"/>
      <c r="D3" s="45">
        <f t="shared" ref="D3:D4" si="1">B3+C3</f>
        <v>1717500</v>
      </c>
      <c r="E3" s="46">
        <f>D3*Pristalsregulering!C7</f>
        <v>1718873.9999999998</v>
      </c>
      <c r="F3" s="45"/>
      <c r="G3" s="45"/>
      <c r="H3" s="45"/>
      <c r="I3" s="45"/>
      <c r="J3" s="45"/>
      <c r="K3" s="32"/>
    </row>
    <row r="4" spans="1:11" x14ac:dyDescent="0.25">
      <c r="A4" s="27">
        <v>2013</v>
      </c>
      <c r="B4" s="45">
        <v>1587383</v>
      </c>
      <c r="C4" s="45"/>
      <c r="D4" s="45">
        <f t="shared" si="1"/>
        <v>1587383</v>
      </c>
      <c r="E4" s="46">
        <f>D4*Pristalsregulering!$C$6*Pristalsregulering!$C$7</f>
        <v>1612482.6999959997</v>
      </c>
      <c r="F4" s="45"/>
      <c r="G4" s="45"/>
      <c r="H4" s="45"/>
      <c r="I4" s="45"/>
      <c r="J4" s="45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2" t="s">
        <v>24</v>
      </c>
      <c r="H2" s="6" t="s">
        <v>26</v>
      </c>
    </row>
    <row r="3" spans="1:8" x14ac:dyDescent="0.25">
      <c r="A3" s="30">
        <v>2015</v>
      </c>
      <c r="B3" s="37">
        <v>12000</v>
      </c>
      <c r="C3" s="38">
        <v>15206</v>
      </c>
      <c r="D3" s="38">
        <v>0</v>
      </c>
      <c r="E3" s="37">
        <f>B3</f>
        <v>12000</v>
      </c>
      <c r="F3" s="38">
        <f t="shared" ref="F3:G3" si="0">C3</f>
        <v>15206</v>
      </c>
      <c r="G3" s="39">
        <f t="shared" si="0"/>
        <v>0</v>
      </c>
      <c r="H3" s="40">
        <f>IF(E3=0,0,AVERAGEIF(E3:E5,"&lt;&gt;0"))+IF(F3=0,0,AVERAGEIF(F3:F5,"&lt;&gt;0"))+IF(G3=0,0,AVERAGEIF(G3:G5,"&lt;&gt;0"))</f>
        <v>24846.845786666665</v>
      </c>
    </row>
    <row r="4" spans="1:8" x14ac:dyDescent="0.25">
      <c r="A4" s="30">
        <v>2014</v>
      </c>
      <c r="B4" s="37">
        <v>9900</v>
      </c>
      <c r="C4" s="38">
        <v>14681</v>
      </c>
      <c r="D4" s="38">
        <v>0</v>
      </c>
      <c r="E4" s="37">
        <f>B4*Pristalsregulering!$C$7</f>
        <v>9907.9199999999983</v>
      </c>
      <c r="F4" s="38">
        <f>C4*Pristalsregulering!$C$7</f>
        <v>14692.744799999999</v>
      </c>
      <c r="G4" s="39">
        <f>D4*Pristalsregulering!$C$7</f>
        <v>0</v>
      </c>
      <c r="H4" s="38"/>
    </row>
    <row r="5" spans="1:8" x14ac:dyDescent="0.25">
      <c r="A5" s="30">
        <v>2013</v>
      </c>
      <c r="B5" s="37">
        <v>9000</v>
      </c>
      <c r="C5" s="38">
        <v>13380</v>
      </c>
      <c r="D5" s="38">
        <v>0</v>
      </c>
      <c r="E5" s="37">
        <f>B5*Pristalsregulering!$C$7*Pristalsregulering!$C$6</f>
        <v>9142.3079999999973</v>
      </c>
      <c r="F5" s="38">
        <f>C5*Pristalsregulering!$C$7*Pristalsregulering!$C$6</f>
        <v>13591.564559999999</v>
      </c>
      <c r="G5" s="39">
        <f>D5*Pristalsregulering!$C$7*Pristalsregulering!$C$6</f>
        <v>0</v>
      </c>
      <c r="H5" s="38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1"/>
      <c r="B1" s="66" t="s">
        <v>62</v>
      </c>
      <c r="C1" s="66"/>
      <c r="D1" s="67"/>
      <c r="E1" s="68" t="s">
        <v>63</v>
      </c>
      <c r="F1" s="68"/>
      <c r="G1" s="68"/>
    </row>
    <row r="2" spans="1:7" s="21" customFormat="1" ht="15.75" thickTop="1" x14ac:dyDescent="0.25">
      <c r="A2" s="59" t="s">
        <v>12</v>
      </c>
      <c r="B2" s="22" t="s">
        <v>61</v>
      </c>
      <c r="C2" s="22" t="s">
        <v>1</v>
      </c>
      <c r="D2" s="27" t="s">
        <v>67</v>
      </c>
      <c r="E2" s="21" t="s">
        <v>0</v>
      </c>
      <c r="F2" s="21" t="s">
        <v>1</v>
      </c>
      <c r="G2" s="21" t="s">
        <v>67</v>
      </c>
    </row>
    <row r="3" spans="1:7" s="21" customFormat="1" x14ac:dyDescent="0.25">
      <c r="A3" s="60">
        <v>2015</v>
      </c>
      <c r="B3" s="35">
        <v>1844277.82120544</v>
      </c>
      <c r="C3" s="35">
        <v>530200</v>
      </c>
      <c r="D3" s="36">
        <v>234004.65333333335</v>
      </c>
      <c r="E3" s="32">
        <f>B3*Pristalsregulering!C2*Pristalsregulering!C3*Pristalsregulering!C4*Pristalsregulering!C5*Pristalsregulering!C6*Pristalsregulering!C7</f>
        <v>2007863.3552502403</v>
      </c>
      <c r="F3" s="32">
        <v>553472</v>
      </c>
      <c r="G3" s="32">
        <f xml:space="preserve"> D3/Pristalsregulering!$C$8</f>
        <v>234897.26293247676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8"/>
      <c r="C6" s="38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7" t="s">
        <v>41</v>
      </c>
      <c r="F2" s="7" t="s">
        <v>38</v>
      </c>
      <c r="G2" s="7" t="s">
        <v>39</v>
      </c>
      <c r="H2" s="7" t="s">
        <v>40</v>
      </c>
      <c r="I2" s="47" t="s">
        <v>41</v>
      </c>
      <c r="J2" s="19" t="s">
        <v>42</v>
      </c>
      <c r="K2" s="19" t="s">
        <v>39</v>
      </c>
      <c r="L2" s="15" t="s">
        <v>66</v>
      </c>
      <c r="M2" s="6" t="s">
        <v>25</v>
      </c>
      <c r="N2" s="31"/>
    </row>
    <row r="3" spans="1:14" x14ac:dyDescent="0.25">
      <c r="A3" s="27">
        <v>2015</v>
      </c>
      <c r="B3" s="41">
        <v>45990</v>
      </c>
      <c r="C3" s="35">
        <v>250294</v>
      </c>
      <c r="D3" s="35">
        <v>0</v>
      </c>
      <c r="E3" s="36">
        <v>0</v>
      </c>
      <c r="F3" s="35">
        <f>B3</f>
        <v>45990</v>
      </c>
      <c r="G3" s="35">
        <f>C3</f>
        <v>250294</v>
      </c>
      <c r="H3" s="35">
        <f>D3</f>
        <v>0</v>
      </c>
      <c r="I3" s="36">
        <f>E3</f>
        <v>0</v>
      </c>
      <c r="J3" s="38">
        <f>AVERAGE(F3:F5)</f>
        <v>20062.115999999998</v>
      </c>
      <c r="K3" s="38">
        <f>G3</f>
        <v>250294</v>
      </c>
      <c r="L3" s="39">
        <f>AVERAGE(H3:H5)+AVERAGE(I3:I5)</f>
        <v>0</v>
      </c>
      <c r="M3" s="40">
        <f>SUM(J3:L3)</f>
        <v>270356.11599999998</v>
      </c>
      <c r="N3" s="22"/>
    </row>
    <row r="4" spans="1:14" x14ac:dyDescent="0.25">
      <c r="A4" s="27">
        <v>2014</v>
      </c>
      <c r="B4" s="41">
        <v>14185</v>
      </c>
      <c r="C4" s="35">
        <v>216271</v>
      </c>
      <c r="D4" s="35">
        <v>0</v>
      </c>
      <c r="E4" s="36">
        <v>0</v>
      </c>
      <c r="F4" s="35">
        <f>IF(B4="","",B4*Pristalsregulering!$C$7)</f>
        <v>14196.347999999998</v>
      </c>
      <c r="G4" s="35">
        <f>IF(C4="","",C4*Pristalsregulering!$C$7)</f>
        <v>216444.01679999998</v>
      </c>
      <c r="H4" s="35">
        <f>IF(D4="","",D4*Pristalsregulering!$C$7)</f>
        <v>0</v>
      </c>
      <c r="I4" s="36">
        <f>IF(E4="","",E4*Pristalsregulering!$C$7)</f>
        <v>0</v>
      </c>
      <c r="J4" s="35"/>
      <c r="L4" s="36"/>
      <c r="M4" s="32"/>
    </row>
    <row r="5" spans="1:14" x14ac:dyDescent="0.25">
      <c r="A5" s="27">
        <v>2013</v>
      </c>
      <c r="B5" s="41">
        <v>0</v>
      </c>
      <c r="C5" s="35">
        <v>212624</v>
      </c>
      <c r="D5" s="35">
        <v>0</v>
      </c>
      <c r="E5" s="36">
        <v>0</v>
      </c>
      <c r="F5" s="35">
        <f>IF(B5="","",B5*Pristalsregulering!$C$7*Pristalsregulering!$C$6)</f>
        <v>0</v>
      </c>
      <c r="G5" s="35">
        <f>IF(C5="","",C5*Pristalsregulering!$C$7*Pristalsregulering!$C$6)</f>
        <v>215986.01068799995</v>
      </c>
      <c r="H5" s="35">
        <f>IF(D5="","",D5*Pristalsregulering!$C$7*Pristalsregulering!$C$6)</f>
        <v>0</v>
      </c>
      <c r="I5" s="36">
        <f>IF(E5="","",E5*Pristalsregulering!$C$7*Pristalsregulering!$C$6)</f>
        <v>0</v>
      </c>
      <c r="J5" s="32"/>
      <c r="L5" s="36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tabSelected="1" topLeftCell="E1" workbookViewId="0">
      <selection activeCell="E2" sqref="E2"/>
    </sheetView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6" t="s">
        <v>27</v>
      </c>
      <c r="C1" s="56" t="s">
        <v>28</v>
      </c>
      <c r="D1" s="56" t="s">
        <v>29</v>
      </c>
      <c r="E1" s="56" t="s">
        <v>30</v>
      </c>
      <c r="F1" s="56" t="s">
        <v>31</v>
      </c>
      <c r="G1" s="56" t="s">
        <v>32</v>
      </c>
      <c r="H1" s="56" t="s">
        <v>33</v>
      </c>
      <c r="I1" s="56" t="s">
        <v>34</v>
      </c>
      <c r="J1" s="56" t="s">
        <v>35</v>
      </c>
      <c r="K1" s="56" t="s">
        <v>52</v>
      </c>
      <c r="L1" s="57" t="s">
        <v>36</v>
      </c>
      <c r="M1" s="14" t="s">
        <v>25</v>
      </c>
    </row>
    <row r="2" spans="1:13" ht="15.75" thickTop="1" x14ac:dyDescent="0.25">
      <c r="A2" s="30">
        <v>2015</v>
      </c>
      <c r="B2" s="38">
        <v>32523</v>
      </c>
      <c r="C2" s="38">
        <v>0</v>
      </c>
      <c r="D2" s="38">
        <v>4414</v>
      </c>
      <c r="E2" s="38">
        <v>4860</v>
      </c>
      <c r="F2" s="38">
        <v>156021</v>
      </c>
      <c r="G2" s="38">
        <v>2276136</v>
      </c>
      <c r="H2" s="38" t="s">
        <v>43</v>
      </c>
      <c r="I2" s="38">
        <v>0</v>
      </c>
      <c r="J2" s="38">
        <v>0</v>
      </c>
      <c r="K2" s="38"/>
      <c r="L2" s="39"/>
      <c r="M2" s="40">
        <f>SUM(B2:L2)</f>
        <v>2473954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4" t="s">
        <v>53</v>
      </c>
      <c r="B2" s="55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Nikos Vourexacis (KFST)</cp:lastModifiedBy>
  <dcterms:created xsi:type="dcterms:W3CDTF">2016-02-18T09:14:14Z</dcterms:created>
  <dcterms:modified xsi:type="dcterms:W3CDTF">2017-09-15T12:41:24Z</dcterms:modified>
</cp:coreProperties>
</file>