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1" i="22" l="1"/>
  <c r="K20" i="22"/>
  <c r="G11" i="10" l="1"/>
  <c r="K12" i="22"/>
  <c r="K11" i="22"/>
  <c r="K10" i="22"/>
  <c r="F18" i="20"/>
  <c r="F19" i="20" s="1"/>
  <c r="G22" i="7"/>
  <c r="F15" i="11" l="1"/>
  <c r="F14" i="11"/>
  <c r="F13" i="11"/>
  <c r="F12" i="11"/>
  <c r="F11" i="21" l="1"/>
  <c r="F12" i="21" s="1"/>
  <c r="D11" i="21"/>
  <c r="G41" i="12"/>
  <c r="D12" i="21" l="1"/>
  <c r="K19" i="22" s="1"/>
  <c r="F11" i="20"/>
  <c r="F12" i="20" s="1"/>
  <c r="D11" i="20"/>
  <c r="D12" i="20" s="1"/>
  <c r="E18" i="22" s="1"/>
  <c r="E21" i="22" l="1"/>
  <c r="G18" i="22"/>
  <c r="G21" i="22" l="1"/>
  <c r="I18" i="22"/>
  <c r="G18" i="19"/>
  <c r="G19" i="19" s="1"/>
  <c r="E14" i="22" s="1"/>
  <c r="G12" i="7"/>
  <c r="G14" i="22" l="1"/>
  <c r="E20" i="22"/>
  <c r="E22" i="22"/>
  <c r="I21" i="22"/>
  <c r="K18" i="22"/>
  <c r="E15" i="13"/>
  <c r="F11" i="11"/>
  <c r="F16" i="11"/>
  <c r="I14" i="22" l="1"/>
  <c r="G20" i="22"/>
  <c r="G22" i="22"/>
  <c r="G30" i="13"/>
  <c r="K14" i="22" l="1"/>
  <c r="I20" i="22"/>
  <c r="I22" i="22"/>
  <c r="E35" i="13"/>
  <c r="G35" i="13" s="1"/>
  <c r="E27" i="13"/>
  <c r="E19" i="13"/>
  <c r="G11" i="12"/>
  <c r="G29" i="12"/>
  <c r="G23" i="12"/>
  <c r="G17" i="12"/>
  <c r="F10" i="11"/>
  <c r="F17" i="11" s="1"/>
  <c r="G33" i="12" l="1"/>
  <c r="G35" i="12" s="1"/>
  <c r="K15" i="22" s="1"/>
  <c r="E28" i="13"/>
  <c r="G28" i="13" s="1"/>
  <c r="G36" i="13" s="1"/>
  <c r="K16" i="22" s="1"/>
  <c r="K22" i="22" l="1"/>
</calcChain>
</file>

<file path=xl/sharedStrings.xml><?xml version="1.0" encoding="utf-8"?>
<sst xmlns="http://schemas.openxmlformats.org/spreadsheetml/2006/main" count="349" uniqueCount="154">
  <si>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</si>
  <si>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</si>
  <si>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</si>
  <si>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</si>
  <si>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</si>
  <si>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</si>
  <si>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</si>
  <si>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</si>
  <si>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</si>
  <si>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</si>
  <si>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</si>
  <si>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</si>
  <si>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</si>
  <si>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</si>
  <si>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</si>
  <si>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</si>
  <si>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</si>
  <si>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</si>
  <si>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</si>
  <si>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</si>
  <si>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</si>
  <si>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</si>
  <si>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</si>
  <si>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</si>
  <si>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</si>
  <si>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</si>
  <si>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</si>
  <si>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</si>
  <si>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</si>
  <si>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</si>
  <si>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</si>
  <si>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</si>
  <si>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</si>
  <si>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</si>
  <si>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</si>
  <si>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</si>
  <si>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</si>
  <si>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</si>
  <si>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</si>
  <si>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</si>
  <si>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</si>
  <si>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</si>
  <si>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</si>
  <si>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</si>
  <si>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</si>
  <si>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</si>
  <si>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</si>
  <si>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</si>
  <si>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</si>
  <si>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</si>
  <si>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</si>
  <si>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</si>
  <si>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</si>
  <si>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</si>
  <si>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</si>
  <si>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</si>
  <si>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</si>
  <si>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</si>
  <si>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</si>
  <si>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</si>
  <si>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</si>
  <si>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</si>
  <si>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</si>
  <si>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</si>
  <si>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</si>
  <si>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</si>
  <si>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</si>
  <si>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</si>
  <si>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</si>
  <si>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</si>
  <si>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</si>
  <si>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</si>
  <si>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</si>
  <si>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</si>
  <si>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</si>
  <si>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</si>
  <si>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</si>
  <si>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</si>
  <si>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</si>
  <si>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</si>
  <si>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</si>
  <si>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</si>
  <si>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</si>
  <si>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</si>
  <si>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</si>
  <si>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</si>
  <si>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</si>
  <si>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</si>
  <si>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</si>
  <si>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</si>
  <si>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</si>
  <si>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</si>
  <si>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</si>
  <si>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</si>
  <si>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</si>
  <si>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</si>
  <si>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</si>
  <si>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</si>
  <si>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</si>
  <si>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</si>
  <si>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</si>
  <si>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</si>
  <si>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</si>
  <si>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</si>
  <si>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</si>
  <si>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</si>
  <si>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</si>
  <si>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</si>
  <si>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</si>
  <si>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</si>
  <si>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</si>
  <si>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</si>
  <si>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</si>
  <si>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</si>
  <si>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</si>
  <si>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</si>
  <si>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</si>
  <si>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</si>
  <si>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</si>
  <si>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Hegn</t>
  </si>
  <si>
    <t>Ventiler på Ø 50mm &lt; Ledningsnet ≤ Ø110 mm</t>
  </si>
  <si>
    <t>Råvandsstation komplet montering og boringshus/tørbrønd</t>
  </si>
  <si>
    <t>Elanlæg - vandværk</t>
  </si>
  <si>
    <t>Skelbrønd, Konstruktioner</t>
  </si>
  <si>
    <t>Strukturanalyse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</si>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</sst>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5" t="s">
        <v>5</v>
      </c>
      <c r="E6" s="65"/>
      <c r="F6" s="65"/>
      <c r="G6" s="65"/>
      <c r="H6" s="4"/>
      <c r="I6" s="2"/>
    </row>
    <row r="7" spans="1:9" ht="15" customHeight="1" x14ac:dyDescent="0.25">
      <c r="A7" s="2"/>
      <c r="B7" s="2"/>
      <c r="C7" s="4"/>
      <c r="D7" s="65"/>
      <c r="E7" s="65"/>
      <c r="F7" s="65"/>
      <c r="G7" s="65"/>
      <c r="H7" s="4"/>
      <c r="I7" s="2"/>
    </row>
    <row r="8" spans="1:9" ht="15.75" x14ac:dyDescent="0.25">
      <c r="A8" s="2"/>
      <c r="B8" s="2"/>
      <c r="C8" s="5"/>
      <c r="D8" s="70" t="s">
        <v>118</v>
      </c>
      <c r="E8" s="70"/>
      <c r="F8" s="70"/>
      <c r="G8" s="70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9" t="s">
        <v>6</v>
      </c>
      <c r="E11" s="69"/>
      <c r="F11" s="69"/>
      <c r="G11" s="69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115</v>
      </c>
      <c r="D13" s="77" t="s">
        <v>116</v>
      </c>
      <c r="E13" s="78"/>
      <c r="F13" s="78"/>
      <c r="G13" s="79"/>
      <c r="H13" s="2"/>
      <c r="I13" s="2"/>
    </row>
    <row r="14" spans="1:9" x14ac:dyDescent="0.25">
      <c r="A14" s="2"/>
      <c r="B14" s="2"/>
      <c r="C14" s="7" t="s">
        <v>7</v>
      </c>
      <c r="D14" s="71" t="s">
        <v>48</v>
      </c>
      <c r="E14" s="72"/>
      <c r="F14" s="72"/>
      <c r="G14" s="73"/>
      <c r="H14" s="2"/>
      <c r="I14" s="2"/>
    </row>
    <row r="15" spans="1:9" x14ac:dyDescent="0.25">
      <c r="A15" s="2"/>
      <c r="B15" s="2"/>
      <c r="C15" s="7" t="s">
        <v>8</v>
      </c>
      <c r="D15" s="71" t="s">
        <v>41</v>
      </c>
      <c r="E15" s="72"/>
      <c r="F15" s="72"/>
      <c r="G15" s="73"/>
      <c r="H15" s="2"/>
      <c r="I15" s="2"/>
    </row>
    <row r="16" spans="1:9" x14ac:dyDescent="0.25">
      <c r="A16" s="2"/>
      <c r="B16" s="2"/>
      <c r="C16" s="7" t="s">
        <v>9</v>
      </c>
      <c r="D16" s="74" t="s">
        <v>15</v>
      </c>
      <c r="E16" s="75"/>
      <c r="F16" s="75"/>
      <c r="G16" s="76"/>
      <c r="H16" s="2"/>
      <c r="I16" s="2"/>
    </row>
    <row r="17" spans="1:9" x14ac:dyDescent="0.25">
      <c r="A17" s="2"/>
      <c r="B17" s="2"/>
      <c r="C17" s="7" t="s">
        <v>10</v>
      </c>
      <c r="D17" s="66" t="s">
        <v>51</v>
      </c>
      <c r="E17" s="67"/>
      <c r="F17" s="67"/>
      <c r="G17" s="68"/>
      <c r="H17" s="2"/>
      <c r="I17" s="2"/>
    </row>
    <row r="18" spans="1:9" x14ac:dyDescent="0.25">
      <c r="A18" s="2"/>
      <c r="B18" s="2"/>
      <c r="C18" s="7" t="s">
        <v>11</v>
      </c>
      <c r="D18" s="66" t="s">
        <v>72</v>
      </c>
      <c r="E18" s="67"/>
      <c r="F18" s="67"/>
      <c r="G18" s="68"/>
      <c r="H18" s="2"/>
      <c r="I18" s="2"/>
    </row>
    <row r="19" spans="1:9" x14ac:dyDescent="0.25">
      <c r="A19" s="2"/>
      <c r="B19" s="2"/>
      <c r="C19" s="7" t="s">
        <v>12</v>
      </c>
      <c r="D19" s="59" t="s">
        <v>93</v>
      </c>
      <c r="E19" s="60"/>
      <c r="F19" s="60"/>
      <c r="G19" s="61"/>
      <c r="H19" s="2"/>
      <c r="I19" s="2"/>
    </row>
    <row r="20" spans="1:9" x14ac:dyDescent="0.25">
      <c r="A20" s="2"/>
      <c r="B20" s="2"/>
      <c r="C20" s="7" t="s">
        <v>13</v>
      </c>
      <c r="D20" s="62" t="s">
        <v>50</v>
      </c>
      <c r="E20" s="63"/>
      <c r="F20" s="63"/>
      <c r="G20" s="64"/>
      <c r="H20" s="2"/>
      <c r="I20" s="2"/>
    </row>
    <row r="21" spans="1:9" x14ac:dyDescent="0.25">
      <c r="A21" s="2"/>
      <c r="B21" s="2"/>
      <c r="C21" s="7" t="s">
        <v>46</v>
      </c>
      <c r="D21" s="62" t="s">
        <v>49</v>
      </c>
      <c r="E21" s="63"/>
      <c r="F21" s="63"/>
      <c r="G21" s="64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5" t="s">
        <v>105</v>
      </c>
      <c r="C3" s="95"/>
      <c r="D3" s="95"/>
      <c r="E3" s="95"/>
      <c r="F3" s="95"/>
      <c r="G3" s="95"/>
      <c r="H3" s="2"/>
    </row>
    <row r="4" spans="1:8" ht="25.5" customHeight="1" x14ac:dyDescent="0.25">
      <c r="A4" s="2"/>
      <c r="B4" s="95"/>
      <c r="C4" s="95"/>
      <c r="D4" s="95"/>
      <c r="E4" s="95"/>
      <c r="F4" s="95"/>
      <c r="G4" s="9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80</v>
      </c>
      <c r="C8" s="90"/>
      <c r="D8" s="90"/>
      <c r="E8" s="90"/>
      <c r="F8" s="90"/>
      <c r="G8" s="91"/>
      <c r="H8" s="2"/>
    </row>
    <row r="9" spans="1:8" ht="29.25" customHeight="1" x14ac:dyDescent="0.25">
      <c r="A9" s="2"/>
      <c r="B9" s="32" t="s">
        <v>81</v>
      </c>
      <c r="C9" s="33"/>
      <c r="D9" s="101" t="s">
        <v>40</v>
      </c>
      <c r="E9" s="101"/>
      <c r="F9" s="101" t="s">
        <v>84</v>
      </c>
      <c r="G9" s="101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89" t="s">
        <v>85</v>
      </c>
      <c r="C11" s="91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9" t="s">
        <v>96</v>
      </c>
      <c r="C12" s="91"/>
      <c r="D12" s="15">
        <f>D11*(1+'Fane 2. Overblik ØR18-21'!E26/100)</f>
        <v>0</v>
      </c>
      <c r="E12" s="16" t="s">
        <v>4</v>
      </c>
      <c r="F12" s="15">
        <f>F11*(1+'Fane 2. Overblik ØR18-21'!E26/100)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2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4" t="s">
        <v>117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2"/>
    </row>
    <row r="4" spans="1:13" ht="15" customHeight="1" x14ac:dyDescent="0.2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2"/>
    </row>
    <row r="5" spans="1:13" x14ac:dyDescent="0.25">
      <c r="A5" s="2"/>
      <c r="B5" s="85" t="s">
        <v>106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6" t="s">
        <v>107</v>
      </c>
      <c r="C9" s="87"/>
      <c r="D9" s="88"/>
      <c r="E9" s="49">
        <v>1415067.4950020183</v>
      </c>
      <c r="F9" s="13" t="s">
        <v>4</v>
      </c>
      <c r="G9" s="49">
        <v>1408538.4695750065</v>
      </c>
      <c r="H9" s="13" t="s">
        <v>4</v>
      </c>
      <c r="I9" s="49">
        <v>1401960.967324225</v>
      </c>
      <c r="J9" s="13" t="s">
        <v>4</v>
      </c>
      <c r="K9" s="58" t="s">
        <v>108</v>
      </c>
      <c r="L9" s="40" t="s">
        <v>4</v>
      </c>
      <c r="M9" s="2"/>
    </row>
    <row r="10" spans="1:13" x14ac:dyDescent="0.25">
      <c r="A10" s="2"/>
      <c r="B10" s="83" t="s">
        <v>73</v>
      </c>
      <c r="C10" s="81"/>
      <c r="D10" s="82"/>
      <c r="E10" s="41" t="s">
        <v>108</v>
      </c>
      <c r="F10" s="8" t="s">
        <v>4</v>
      </c>
      <c r="G10" s="41" t="s">
        <v>108</v>
      </c>
      <c r="H10" s="8" t="s">
        <v>4</v>
      </c>
      <c r="I10" s="41" t="s">
        <v>108</v>
      </c>
      <c r="J10" s="8" t="s">
        <v>4</v>
      </c>
      <c r="K10" s="42">
        <f>'Fane 3. Korrigeret grundlag'!G9*(1+E26/100)^3</f>
        <v>866185.96628428111</v>
      </c>
      <c r="L10" s="8" t="s">
        <v>4</v>
      </c>
      <c r="M10" s="2"/>
    </row>
    <row r="11" spans="1:13" x14ac:dyDescent="0.25">
      <c r="A11" s="2"/>
      <c r="B11" s="47" t="s">
        <v>74</v>
      </c>
      <c r="C11" s="45"/>
      <c r="D11" s="46"/>
      <c r="E11" s="41" t="s">
        <v>108</v>
      </c>
      <c r="F11" s="8" t="s">
        <v>4</v>
      </c>
      <c r="G11" s="41" t="s">
        <v>108</v>
      </c>
      <c r="H11" s="8" t="s">
        <v>4</v>
      </c>
      <c r="I11" s="41" t="s">
        <v>108</v>
      </c>
      <c r="J11" s="8" t="s">
        <v>4</v>
      </c>
      <c r="K11" s="42">
        <f>'Fane 3. Korrigeret grundlag'!G10*(1+E26/100)^3</f>
        <v>799958.01124254952</v>
      </c>
      <c r="L11" s="8" t="s">
        <v>4</v>
      </c>
      <c r="M11" s="2"/>
    </row>
    <row r="12" spans="1:13" x14ac:dyDescent="0.25">
      <c r="A12" s="2"/>
      <c r="B12" s="47" t="s">
        <v>91</v>
      </c>
      <c r="C12" s="45"/>
      <c r="D12" s="46"/>
      <c r="E12" s="41" t="s">
        <v>108</v>
      </c>
      <c r="F12" s="8" t="s">
        <v>4</v>
      </c>
      <c r="G12" s="41" t="s">
        <v>108</v>
      </c>
      <c r="H12" s="8" t="s">
        <v>4</v>
      </c>
      <c r="I12" s="41" t="s">
        <v>108</v>
      </c>
      <c r="J12" s="8" t="s">
        <v>4</v>
      </c>
      <c r="K12" s="42">
        <f>'Fane 3. Korrigeret grundlag'!G11*(1+E26/100)^3</f>
        <v>46556.897051665859</v>
      </c>
      <c r="L12" s="8" t="s">
        <v>4</v>
      </c>
      <c r="M12" s="2"/>
    </row>
    <row r="13" spans="1:13" x14ac:dyDescent="0.25">
      <c r="A13" s="2"/>
      <c r="B13" s="47" t="s">
        <v>153</v>
      </c>
      <c r="C13" s="45"/>
      <c r="D13" s="46"/>
      <c r="E13" s="41" t="s">
        <v>108</v>
      </c>
      <c r="F13" s="8" t="s">
        <v>4</v>
      </c>
      <c r="G13" s="41" t="s">
        <v>108</v>
      </c>
      <c r="H13" s="8" t="s">
        <v>4</v>
      </c>
      <c r="I13" s="41" t="s">
        <v>108</v>
      </c>
      <c r="J13" s="8" t="s">
        <v>4</v>
      </c>
      <c r="K13" s="42">
        <v>-107133.95287581804</v>
      </c>
      <c r="L13" s="8" t="s">
        <v>4</v>
      </c>
      <c r="M13" s="2"/>
    </row>
    <row r="14" spans="1:13" x14ac:dyDescent="0.25">
      <c r="A14" s="2"/>
      <c r="B14" s="83" t="s">
        <v>109</v>
      </c>
      <c r="C14" s="81"/>
      <c r="D14" s="82"/>
      <c r="E14" s="42">
        <f>'Fane 4. Ikke-påvirkelige omk.'!G19</f>
        <v>-12162.716368000003</v>
      </c>
      <c r="F14" s="8" t="s">
        <v>4</v>
      </c>
      <c r="G14" s="9">
        <f>E14*(1+$E$26/100)</f>
        <v>-12375.563904440003</v>
      </c>
      <c r="H14" s="8" t="s">
        <v>4</v>
      </c>
      <c r="I14" s="9">
        <f>G14*(1+$E$26/100)</f>
        <v>-12592.136272767704</v>
      </c>
      <c r="J14" s="8" t="s">
        <v>4</v>
      </c>
      <c r="K14" s="52">
        <f>I14*(1+$E$26/100)</f>
        <v>-12812.49865754114</v>
      </c>
      <c r="L14" s="8" t="s">
        <v>4</v>
      </c>
      <c r="M14" s="2"/>
    </row>
    <row r="15" spans="1:13" x14ac:dyDescent="0.25">
      <c r="A15" s="2"/>
      <c r="B15" s="83" t="s">
        <v>72</v>
      </c>
      <c r="C15" s="81"/>
      <c r="D15" s="82"/>
      <c r="E15" s="41" t="s">
        <v>108</v>
      </c>
      <c r="F15" s="8" t="s">
        <v>4</v>
      </c>
      <c r="G15" s="41" t="s">
        <v>108</v>
      </c>
      <c r="H15" s="8" t="s">
        <v>4</v>
      </c>
      <c r="I15" s="41" t="s">
        <v>108</v>
      </c>
      <c r="J15" s="8" t="s">
        <v>4</v>
      </c>
      <c r="K15" s="52">
        <f>SUM('Fane 7. Korrektion af PL2016'!G11,'Fane 7. Korrektion af PL2016'!G17,'Fane 7. Korrektion af PL2016'!G23,'Fane 7. Korrektion af PL2016'!G29,'Fane 7. Korrektion af PL2016'!G35,'Fane 7. Korrektion af PL2016'!G41)</f>
        <v>-72924.397999999986</v>
      </c>
      <c r="L15" s="8" t="s">
        <v>4</v>
      </c>
      <c r="M15" s="2"/>
    </row>
    <row r="16" spans="1:13" x14ac:dyDescent="0.25">
      <c r="A16" s="2"/>
      <c r="B16" s="80" t="s">
        <v>110</v>
      </c>
      <c r="C16" s="81"/>
      <c r="D16" s="82"/>
      <c r="E16" s="41" t="s">
        <v>108</v>
      </c>
      <c r="F16" s="8" t="s">
        <v>4</v>
      </c>
      <c r="G16" s="41" t="s">
        <v>108</v>
      </c>
      <c r="H16" s="8" t="s">
        <v>4</v>
      </c>
      <c r="I16" s="41" t="s">
        <v>108</v>
      </c>
      <c r="J16" s="8" t="s">
        <v>4</v>
      </c>
      <c r="K16" s="52">
        <f>'Fane 8. Kontrol af PL2016'!G36</f>
        <v>-9450.7206926073413</v>
      </c>
      <c r="L16" s="8" t="s">
        <v>4</v>
      </c>
      <c r="M16" s="2"/>
    </row>
    <row r="17" spans="1:13" x14ac:dyDescent="0.25">
      <c r="A17" s="2"/>
      <c r="B17" s="44" t="s">
        <v>133</v>
      </c>
      <c r="C17" s="45"/>
      <c r="D17" s="46"/>
      <c r="E17" s="41" t="s">
        <v>108</v>
      </c>
      <c r="F17" s="8" t="s">
        <v>4</v>
      </c>
      <c r="G17" s="41" t="s">
        <v>108</v>
      </c>
      <c r="H17" s="8" t="s">
        <v>4</v>
      </c>
      <c r="I17" s="41" t="s">
        <v>108</v>
      </c>
      <c r="J17" s="8" t="s">
        <v>4</v>
      </c>
      <c r="K17" s="52">
        <v>7352</v>
      </c>
      <c r="L17" s="8" t="s">
        <v>4</v>
      </c>
      <c r="M17" s="2"/>
    </row>
    <row r="18" spans="1:13" x14ac:dyDescent="0.25">
      <c r="A18" s="2"/>
      <c r="B18" s="80" t="s">
        <v>111</v>
      </c>
      <c r="C18" s="81"/>
      <c r="D18" s="82"/>
      <c r="E18" s="9">
        <f>'Fane 9. Tillæg'!D12+'Fane 9. Tillæg'!F12</f>
        <v>0</v>
      </c>
      <c r="F18" s="8" t="s">
        <v>4</v>
      </c>
      <c r="G18" s="9">
        <f>E18*(1+$E$26/100)*(1-$E$27/100)</f>
        <v>0</v>
      </c>
      <c r="H18" s="8" t="s">
        <v>4</v>
      </c>
      <c r="I18" s="9">
        <f>G18*(1+$E$26/100)*(1-$E$27/100)</f>
        <v>0</v>
      </c>
      <c r="J18" s="8" t="s">
        <v>4</v>
      </c>
      <c r="K18" s="52">
        <f>I18*(1+$E$26/100)*(1-$E$27/100)</f>
        <v>0</v>
      </c>
      <c r="L18" s="8" t="s">
        <v>4</v>
      </c>
      <c r="M18" s="2"/>
    </row>
    <row r="19" spans="1:13" x14ac:dyDescent="0.25">
      <c r="A19" s="2"/>
      <c r="B19" s="80" t="s">
        <v>80</v>
      </c>
      <c r="C19" s="81"/>
      <c r="D19" s="82"/>
      <c r="E19" s="41" t="s">
        <v>108</v>
      </c>
      <c r="F19" s="8" t="s">
        <v>4</v>
      </c>
      <c r="G19" s="41" t="s">
        <v>108</v>
      </c>
      <c r="H19" s="8" t="s">
        <v>4</v>
      </c>
      <c r="I19" s="41" t="s">
        <v>108</v>
      </c>
      <c r="J19" s="8" t="s">
        <v>4</v>
      </c>
      <c r="K19" s="52">
        <f>'Fane 10. Bortfald'!D12+'Fane 10. Bortfald'!F12</f>
        <v>0</v>
      </c>
      <c r="L19" s="8" t="s">
        <v>4</v>
      </c>
      <c r="M19" s="2"/>
    </row>
    <row r="20" spans="1:13" x14ac:dyDescent="0.25">
      <c r="A20" s="2"/>
      <c r="B20" s="80" t="s">
        <v>47</v>
      </c>
      <c r="C20" s="81"/>
      <c r="D20" s="82"/>
      <c r="E20" s="42">
        <f>(E18+E14)*($E$26/100)</f>
        <v>-212.84753644000008</v>
      </c>
      <c r="F20" s="8" t="s">
        <v>4</v>
      </c>
      <c r="G20" s="42">
        <f>(G18+G14)*($E$26/100)</f>
        <v>-216.57236832770008</v>
      </c>
      <c r="H20" s="8" t="s">
        <v>4</v>
      </c>
      <c r="I20" s="42">
        <f>(I18+I14)*($E$26/100)</f>
        <v>-220.36238477343485</v>
      </c>
      <c r="J20" s="8" t="s">
        <v>4</v>
      </c>
      <c r="K20" s="42">
        <f>SUM(K10:K14,K17:K19)*($E$26/100)</f>
        <v>28001.862403289902</v>
      </c>
      <c r="L20" s="8" t="s">
        <v>4</v>
      </c>
      <c r="M20" s="2"/>
    </row>
    <row r="21" spans="1:13" x14ac:dyDescent="0.25">
      <c r="A21" s="2"/>
      <c r="B21" s="80" t="s">
        <v>14</v>
      </c>
      <c r="C21" s="81"/>
      <c r="D21" s="82"/>
      <c r="E21" s="42">
        <f>-E18*(1+$E$26/100)*($E$27/100)</f>
        <v>0</v>
      </c>
      <c r="F21" s="8" t="s">
        <v>4</v>
      </c>
      <c r="G21" s="42">
        <f>-G18*(1+$E$26/100)*($E$27/100)</f>
        <v>0</v>
      </c>
      <c r="H21" s="8" t="s">
        <v>4</v>
      </c>
      <c r="I21" s="42">
        <f>-I18*(1+$E$26/100)*($E$27/100)</f>
        <v>0</v>
      </c>
      <c r="J21" s="8" t="s">
        <v>4</v>
      </c>
      <c r="K21" s="42">
        <f>-SUM(K10:K11,K13,K17:K19)*(1+$E$26/100)*($E$27/100)</f>
        <v>-27094.147121400889</v>
      </c>
      <c r="L21" s="8" t="s">
        <v>4</v>
      </c>
      <c r="M21" s="2"/>
    </row>
    <row r="22" spans="1:13" x14ac:dyDescent="0.25">
      <c r="A22" s="2"/>
      <c r="B22" s="37" t="s">
        <v>112</v>
      </c>
      <c r="C22" s="38"/>
      <c r="D22" s="38"/>
      <c r="E22" s="50">
        <f>SUM(E9:E21)</f>
        <v>1402691.9310975783</v>
      </c>
      <c r="F22" s="38" t="s">
        <v>4</v>
      </c>
      <c r="G22" s="50">
        <f>SUM(G9:G21)</f>
        <v>1395946.3333022387</v>
      </c>
      <c r="H22" s="38" t="s">
        <v>4</v>
      </c>
      <c r="I22" s="50">
        <f>SUM(I9:I21)</f>
        <v>1389148.4686666839</v>
      </c>
      <c r="J22" s="38" t="s">
        <v>4</v>
      </c>
      <c r="K22" s="53">
        <f>SUM(K9:K21)</f>
        <v>1518639.0196344189</v>
      </c>
      <c r="L22" s="39" t="s">
        <v>4</v>
      </c>
      <c r="M22" s="2"/>
    </row>
    <row r="23" spans="1:13" x14ac:dyDescent="0.25">
      <c r="A23" s="2"/>
      <c r="B23" s="2"/>
      <c r="C23" s="2"/>
      <c r="D23" s="2"/>
      <c r="E23" s="51"/>
      <c r="F23" s="2"/>
      <c r="G23" s="51"/>
      <c r="H23" s="2"/>
      <c r="I23" s="51"/>
      <c r="J23" s="2"/>
      <c r="K23" s="54"/>
      <c r="L23" s="2"/>
      <c r="M23" s="2"/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 customHeight="1" x14ac:dyDescent="0.25">
      <c r="A25" s="2"/>
      <c r="B25" s="37" t="s">
        <v>113</v>
      </c>
      <c r="C25" s="38"/>
      <c r="D25" s="38"/>
      <c r="E25" s="38"/>
      <c r="F25" s="38"/>
      <c r="G25" s="2"/>
      <c r="H25" s="2"/>
      <c r="I25" s="2"/>
      <c r="J25" s="2"/>
      <c r="K25" s="2"/>
      <c r="L25" s="2"/>
      <c r="M25" s="2"/>
    </row>
    <row r="26" spans="1:13" x14ac:dyDescent="0.25">
      <c r="A26" s="2"/>
      <c r="B26" s="36" t="s">
        <v>114</v>
      </c>
      <c r="C26" s="34"/>
      <c r="D26" s="35"/>
      <c r="E26" s="55">
        <v>1.75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ht="15" customHeight="1" x14ac:dyDescent="0.25">
      <c r="A27" s="2"/>
      <c r="B27" s="80" t="s">
        <v>14</v>
      </c>
      <c r="C27" s="81"/>
      <c r="D27" s="82"/>
      <c r="E27" s="55">
        <v>1.7</v>
      </c>
      <c r="F27" s="8" t="s">
        <v>34</v>
      </c>
      <c r="G27" s="2"/>
      <c r="H27" s="2"/>
      <c r="I27" s="2"/>
      <c r="J27" s="2"/>
      <c r="K27" s="2"/>
      <c r="L27" s="2"/>
      <c r="M27" s="2"/>
    </row>
    <row r="28" spans="1:13" x14ac:dyDescent="0.25">
      <c r="A28" s="2"/>
      <c r="B28" s="38"/>
      <c r="C28" s="38"/>
      <c r="D28" s="38"/>
      <c r="E28" s="38"/>
      <c r="F28" s="38"/>
      <c r="G28" s="2"/>
      <c r="H28" s="2"/>
      <c r="I28" s="2"/>
      <c r="J28" s="2"/>
      <c r="K28" s="2"/>
      <c r="L28" s="2"/>
      <c r="M28" s="2"/>
    </row>
    <row r="29" spans="1:13" ht="1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7:D27"/>
    <mergeCell ref="B16:D16"/>
    <mergeCell ref="B18:D18"/>
    <mergeCell ref="B19:D19"/>
    <mergeCell ref="B20:D20"/>
    <mergeCell ref="B21:D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5" t="s">
        <v>98</v>
      </c>
      <c r="C3" s="95"/>
      <c r="D3" s="95"/>
      <c r="E3" s="95"/>
      <c r="F3" s="95"/>
      <c r="G3" s="95"/>
      <c r="H3" s="95"/>
      <c r="I3" s="2"/>
    </row>
    <row r="4" spans="1:9" ht="29.2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99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0" t="s">
        <v>73</v>
      </c>
      <c r="C9" s="81"/>
      <c r="D9" s="81"/>
      <c r="E9" s="81"/>
      <c r="F9" s="82"/>
      <c r="G9" s="21">
        <v>822257.58702085528</v>
      </c>
      <c r="H9" s="17" t="s">
        <v>4</v>
      </c>
      <c r="I9" s="2"/>
    </row>
    <row r="10" spans="1:9" x14ac:dyDescent="0.25">
      <c r="A10" s="2"/>
      <c r="B10" s="80" t="s">
        <v>74</v>
      </c>
      <c r="C10" s="81"/>
      <c r="D10" s="81"/>
      <c r="E10" s="81"/>
      <c r="F10" s="82"/>
      <c r="G10" s="21">
        <v>759388.36421464395</v>
      </c>
      <c r="H10" s="17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21">
        <v>44195.777025919997</v>
      </c>
      <c r="H11" s="17" t="s">
        <v>4</v>
      </c>
      <c r="I11" s="2"/>
    </row>
    <row r="12" spans="1:9" ht="17.25" customHeight="1" x14ac:dyDescent="0.25">
      <c r="A12" s="2"/>
      <c r="B12" s="92" t="s">
        <v>94</v>
      </c>
      <c r="C12" s="93"/>
      <c r="D12" s="93"/>
      <c r="E12" s="93"/>
      <c r="F12" s="94"/>
      <c r="G12" s="15">
        <f>SUM(G9:G11)</f>
        <v>1625841.7282614193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89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90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19"/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19"/>
      <c r="C18" s="2"/>
      <c r="D18" s="2"/>
      <c r="E18" s="2"/>
      <c r="F18" s="2"/>
      <c r="G18" s="18"/>
      <c r="H18" s="2"/>
      <c r="I18" s="2"/>
    </row>
    <row r="19" spans="1:9" x14ac:dyDescent="0.25">
      <c r="A19" s="2"/>
      <c r="B19" s="89" t="s">
        <v>133</v>
      </c>
      <c r="C19" s="90"/>
      <c r="D19" s="90"/>
      <c r="E19" s="90"/>
      <c r="F19" s="90"/>
      <c r="G19" s="90"/>
      <c r="H19" s="91"/>
      <c r="I19" s="2"/>
    </row>
    <row r="20" spans="1:9" x14ac:dyDescent="0.25">
      <c r="A20" s="2"/>
      <c r="B20" s="80" t="s">
        <v>134</v>
      </c>
      <c r="C20" s="81"/>
      <c r="D20" s="81"/>
      <c r="E20" s="81"/>
      <c r="F20" s="82"/>
      <c r="G20" s="21">
        <v>6979</v>
      </c>
      <c r="H20" s="17" t="s">
        <v>4</v>
      </c>
      <c r="I20" s="2"/>
    </row>
    <row r="21" spans="1:9" x14ac:dyDescent="0.25">
      <c r="A21" s="2"/>
      <c r="B21" s="80" t="s">
        <v>135</v>
      </c>
      <c r="C21" s="81"/>
      <c r="D21" s="81"/>
      <c r="E21" s="81"/>
      <c r="F21" s="82"/>
      <c r="G21" s="21">
        <v>0</v>
      </c>
      <c r="H21" s="17" t="s">
        <v>4</v>
      </c>
      <c r="I21" s="2"/>
    </row>
    <row r="22" spans="1:9" x14ac:dyDescent="0.25">
      <c r="A22" s="2"/>
      <c r="B22" s="92" t="s">
        <v>136</v>
      </c>
      <c r="C22" s="93"/>
      <c r="D22" s="93"/>
      <c r="E22" s="93"/>
      <c r="F22" s="94"/>
      <c r="G22" s="15">
        <f>SUM(G20:G21)</f>
        <v>6979</v>
      </c>
      <c r="H22" s="16" t="s">
        <v>4</v>
      </c>
      <c r="I22" s="2"/>
    </row>
    <row r="23" spans="1:9" x14ac:dyDescent="0.25">
      <c r="A23" s="2"/>
      <c r="B23" s="19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19"/>
      <c r="C24" s="2"/>
      <c r="D24" s="2"/>
      <c r="E24" s="2"/>
      <c r="F24" s="2"/>
      <c r="G24" s="18"/>
      <c r="H24" s="2"/>
      <c r="I24" s="2"/>
    </row>
    <row r="25" spans="1:9" x14ac:dyDescent="0.25">
      <c r="A25" s="2"/>
      <c r="B25" s="19"/>
      <c r="C25" s="2"/>
      <c r="D25" s="2"/>
      <c r="E25" s="2"/>
      <c r="F25" s="2"/>
      <c r="G25" s="18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4" t="s">
        <v>75</v>
      </c>
      <c r="C3" s="84"/>
      <c r="D3" s="84"/>
      <c r="E3" s="84"/>
      <c r="F3" s="84"/>
      <c r="G3" s="84"/>
      <c r="H3" s="84"/>
      <c r="I3" s="2"/>
    </row>
    <row r="4" spans="1:9" ht="15" customHeight="1" x14ac:dyDescent="0.25">
      <c r="A4" s="2"/>
      <c r="B4" s="84"/>
      <c r="C4" s="84"/>
      <c r="D4" s="84"/>
      <c r="E4" s="84"/>
      <c r="F4" s="84"/>
      <c r="G4" s="84"/>
      <c r="H4" s="8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76</v>
      </c>
      <c r="C8" s="90"/>
      <c r="D8" s="90"/>
      <c r="E8" s="90"/>
      <c r="F8" s="90"/>
      <c r="G8" s="90"/>
      <c r="H8" s="91"/>
      <c r="I8" s="2"/>
    </row>
    <row r="9" spans="1:9" ht="51.75" customHeight="1" x14ac:dyDescent="0.25">
      <c r="A9" s="2"/>
      <c r="B9" s="86" t="s">
        <v>78</v>
      </c>
      <c r="C9" s="87"/>
      <c r="D9" s="88"/>
      <c r="E9" s="13" t="s">
        <v>77</v>
      </c>
      <c r="F9" s="13"/>
      <c r="G9" s="13" t="s">
        <v>92</v>
      </c>
      <c r="H9" s="13"/>
      <c r="I9" s="2"/>
    </row>
    <row r="10" spans="1:9" x14ac:dyDescent="0.25">
      <c r="A10" s="2"/>
      <c r="B10" s="96" t="s">
        <v>125</v>
      </c>
      <c r="C10" s="97"/>
      <c r="D10" s="97"/>
      <c r="E10" s="56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6" t="s">
        <v>126</v>
      </c>
      <c r="C11" s="97"/>
      <c r="D11" s="97"/>
      <c r="E11" s="56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6" t="s">
        <v>127</v>
      </c>
      <c r="C12" s="97"/>
      <c r="D12" s="97"/>
      <c r="E12" s="56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6" t="s">
        <v>128</v>
      </c>
      <c r="C13" s="97"/>
      <c r="D13" s="97"/>
      <c r="E13" s="56">
        <v>32399.4126</v>
      </c>
      <c r="F13" s="17" t="s">
        <v>4</v>
      </c>
      <c r="G13" s="21">
        <v>5594</v>
      </c>
      <c r="H13" s="17" t="s">
        <v>4</v>
      </c>
      <c r="I13" s="2"/>
    </row>
    <row r="14" spans="1:9" x14ac:dyDescent="0.25">
      <c r="A14" s="2"/>
      <c r="B14" s="96" t="s">
        <v>129</v>
      </c>
      <c r="C14" s="97"/>
      <c r="D14" s="97"/>
      <c r="E14" s="56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6" t="s">
        <v>130</v>
      </c>
      <c r="C15" s="97"/>
      <c r="D15" s="97"/>
      <c r="E15" s="56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6" t="s">
        <v>131</v>
      </c>
      <c r="C16" s="97"/>
      <c r="D16" s="97"/>
      <c r="E16" s="56">
        <v>11242.117</v>
      </c>
      <c r="F16" s="17" t="s">
        <v>4</v>
      </c>
      <c r="G16" s="21">
        <v>26094</v>
      </c>
      <c r="H16" s="17" t="s">
        <v>4</v>
      </c>
      <c r="I16" s="2"/>
    </row>
    <row r="17" spans="1:9" x14ac:dyDescent="0.25">
      <c r="A17" s="2"/>
      <c r="B17" s="96" t="s">
        <v>132</v>
      </c>
      <c r="C17" s="97"/>
      <c r="D17" s="97"/>
      <c r="E17" s="56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89" t="s">
        <v>87</v>
      </c>
      <c r="C18" s="90"/>
      <c r="D18" s="90"/>
      <c r="E18" s="90"/>
      <c r="F18" s="91"/>
      <c r="G18" s="15">
        <f>SUM(G10:G17)-SUM(E10:E17)</f>
        <v>-11953.529600000002</v>
      </c>
      <c r="H18" s="16" t="s">
        <v>4</v>
      </c>
      <c r="I18" s="2"/>
    </row>
    <row r="19" spans="1:9" x14ac:dyDescent="0.25">
      <c r="A19" s="2"/>
      <c r="B19" s="89" t="s">
        <v>88</v>
      </c>
      <c r="C19" s="90"/>
      <c r="D19" s="90"/>
      <c r="E19" s="90"/>
      <c r="F19" s="91"/>
      <c r="G19" s="15">
        <f>G18*(1+'Fane 2. Overblik ØR18-21'!E26/100)</f>
        <v>-12162.716368000003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4" t="s">
        <v>100</v>
      </c>
      <c r="C3" s="84"/>
      <c r="D3" s="84"/>
      <c r="E3" s="84"/>
      <c r="F3" s="84"/>
      <c r="G3" s="84"/>
      <c r="H3" s="84"/>
      <c r="I3" s="2"/>
    </row>
    <row r="4" spans="1:9" ht="15" customHeight="1" x14ac:dyDescent="0.25">
      <c r="A4" s="2"/>
      <c r="B4" s="84"/>
      <c r="C4" s="84"/>
      <c r="D4" s="84"/>
      <c r="E4" s="84"/>
      <c r="F4" s="84"/>
      <c r="G4" s="84"/>
      <c r="H4" s="8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43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80" t="s">
        <v>36</v>
      </c>
      <c r="C9" s="81"/>
      <c r="D9" s="81"/>
      <c r="E9" s="81"/>
      <c r="F9" s="82"/>
      <c r="G9" s="21">
        <v>-2083549</v>
      </c>
      <c r="H9" s="17" t="s">
        <v>4</v>
      </c>
      <c r="I9" s="2"/>
    </row>
    <row r="10" spans="1:9" x14ac:dyDescent="0.25">
      <c r="A10" s="2"/>
      <c r="B10" s="80" t="s">
        <v>82</v>
      </c>
      <c r="C10" s="81"/>
      <c r="D10" s="81"/>
      <c r="E10" s="81"/>
      <c r="F10" s="82"/>
      <c r="G10" s="21">
        <v>-1537604.2433862435</v>
      </c>
      <c r="H10" s="17" t="s">
        <v>4</v>
      </c>
      <c r="I10" s="2"/>
    </row>
    <row r="11" spans="1:9" x14ac:dyDescent="0.25">
      <c r="A11" s="2"/>
      <c r="B11" s="98" t="s">
        <v>39</v>
      </c>
      <c r="C11" s="99"/>
      <c r="D11" s="99"/>
      <c r="E11" s="99"/>
      <c r="F11" s="100"/>
      <c r="G11" s="57">
        <f>G9-G10</f>
        <v>-545944.75661375653</v>
      </c>
      <c r="H11" s="26" t="s">
        <v>4</v>
      </c>
      <c r="I11" s="2"/>
    </row>
    <row r="12" spans="1:9" x14ac:dyDescent="0.25">
      <c r="A12" s="2"/>
      <c r="B12" s="80" t="s">
        <v>37</v>
      </c>
      <c r="C12" s="81"/>
      <c r="D12" s="81"/>
      <c r="E12" s="81"/>
      <c r="F12" s="82"/>
      <c r="G12" s="21">
        <v>3</v>
      </c>
      <c r="H12" s="17" t="s">
        <v>83</v>
      </c>
      <c r="I12" s="2"/>
    </row>
    <row r="13" spans="1:9" x14ac:dyDescent="0.25">
      <c r="A13" s="2"/>
      <c r="B13" s="89" t="s">
        <v>35</v>
      </c>
      <c r="C13" s="90"/>
      <c r="D13" s="90"/>
      <c r="E13" s="90"/>
      <c r="F13" s="91"/>
      <c r="G13" s="15">
        <f>IF(G12 = 0,0,G11/G12)</f>
        <v>-181981.58553791884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4" t="s">
        <v>101</v>
      </c>
      <c r="C3" s="84"/>
      <c r="D3" s="84"/>
      <c r="E3" s="84"/>
      <c r="F3" s="84"/>
      <c r="G3" s="84"/>
      <c r="H3" s="2"/>
    </row>
    <row r="4" spans="1:8" ht="15" customHeight="1" x14ac:dyDescent="0.25">
      <c r="A4" s="2"/>
      <c r="B4" s="84"/>
      <c r="C4" s="84"/>
      <c r="D4" s="84"/>
      <c r="E4" s="84"/>
      <c r="F4" s="84"/>
      <c r="G4" s="8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51</v>
      </c>
      <c r="C8" s="90"/>
      <c r="D8" s="90"/>
      <c r="E8" s="90"/>
      <c r="F8" s="90"/>
      <c r="G8" s="91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1" t="s">
        <v>3</v>
      </c>
      <c r="G9" s="101"/>
      <c r="H9" s="2"/>
    </row>
    <row r="10" spans="1:8" x14ac:dyDescent="0.25">
      <c r="A10" s="2"/>
      <c r="B10" s="43" t="s">
        <v>119</v>
      </c>
      <c r="C10" s="28">
        <v>2016</v>
      </c>
      <c r="D10" s="22">
        <v>15</v>
      </c>
      <c r="E10" s="21">
        <v>15214</v>
      </c>
      <c r="F10" s="9">
        <f>E10/D10</f>
        <v>1014.2666666666667</v>
      </c>
      <c r="G10" s="17" t="s">
        <v>4</v>
      </c>
      <c r="H10" s="2"/>
    </row>
    <row r="11" spans="1:8" x14ac:dyDescent="0.25">
      <c r="A11" s="2"/>
      <c r="B11" s="43" t="s">
        <v>120</v>
      </c>
      <c r="C11" s="28">
        <v>2016</v>
      </c>
      <c r="D11" s="22">
        <v>75</v>
      </c>
      <c r="E11" s="21">
        <v>24876</v>
      </c>
      <c r="F11" s="9">
        <f t="shared" ref="F11:F16" si="0">E11/D11</f>
        <v>331.68</v>
      </c>
      <c r="G11" s="17" t="s">
        <v>4</v>
      </c>
      <c r="H11" s="2"/>
    </row>
    <row r="12" spans="1:8" ht="26.25" x14ac:dyDescent="0.25">
      <c r="A12" s="2"/>
      <c r="B12" s="43" t="s">
        <v>121</v>
      </c>
      <c r="C12" s="28">
        <v>2016</v>
      </c>
      <c r="D12" s="22">
        <v>30</v>
      </c>
      <c r="E12" s="21">
        <v>250179</v>
      </c>
      <c r="F12" s="9">
        <f t="shared" si="0"/>
        <v>8339.2999999999993</v>
      </c>
      <c r="G12" s="17" t="s">
        <v>4</v>
      </c>
      <c r="H12" s="2"/>
    </row>
    <row r="13" spans="1:8" ht="26.25" x14ac:dyDescent="0.25">
      <c r="A13" s="2"/>
      <c r="B13" s="43" t="s">
        <v>121</v>
      </c>
      <c r="C13" s="28">
        <v>2016</v>
      </c>
      <c r="D13" s="22">
        <v>30</v>
      </c>
      <c r="E13" s="21">
        <v>204785</v>
      </c>
      <c r="F13" s="9">
        <f t="shared" si="0"/>
        <v>6826.166666666667</v>
      </c>
      <c r="G13" s="17" t="s">
        <v>4</v>
      </c>
      <c r="H13" s="2"/>
    </row>
    <row r="14" spans="1:8" x14ac:dyDescent="0.25">
      <c r="A14" s="2"/>
      <c r="B14" s="43" t="s">
        <v>122</v>
      </c>
      <c r="C14" s="28">
        <v>2016</v>
      </c>
      <c r="D14" s="22">
        <v>25</v>
      </c>
      <c r="E14" s="21">
        <v>69802</v>
      </c>
      <c r="F14" s="9">
        <f t="shared" si="0"/>
        <v>2792.08</v>
      </c>
      <c r="G14" s="17" t="s">
        <v>4</v>
      </c>
      <c r="H14" s="2"/>
    </row>
    <row r="15" spans="1:8" x14ac:dyDescent="0.25">
      <c r="A15" s="2"/>
      <c r="B15" s="43" t="s">
        <v>123</v>
      </c>
      <c r="C15" s="28">
        <v>2016</v>
      </c>
      <c r="D15" s="22">
        <v>50</v>
      </c>
      <c r="E15" s="21">
        <v>40000</v>
      </c>
      <c r="F15" s="9">
        <f t="shared" si="0"/>
        <v>800</v>
      </c>
      <c r="G15" s="17" t="s">
        <v>4</v>
      </c>
      <c r="H15" s="2"/>
    </row>
    <row r="16" spans="1:8" x14ac:dyDescent="0.25">
      <c r="A16" s="2"/>
      <c r="B16" s="43" t="s">
        <v>124</v>
      </c>
      <c r="C16" s="28">
        <v>2016</v>
      </c>
      <c r="D16" s="22">
        <v>5</v>
      </c>
      <c r="E16" s="21">
        <v>24690</v>
      </c>
      <c r="F16" s="9">
        <f t="shared" si="0"/>
        <v>4938</v>
      </c>
      <c r="G16" s="17" t="s">
        <v>4</v>
      </c>
      <c r="H16" s="2"/>
    </row>
    <row r="17" spans="1:8" x14ac:dyDescent="0.25">
      <c r="A17" s="2"/>
      <c r="B17" s="89" t="s">
        <v>52</v>
      </c>
      <c r="C17" s="90"/>
      <c r="D17" s="90"/>
      <c r="E17" s="91"/>
      <c r="F17" s="15">
        <f>SUM(F10:F16)</f>
        <v>25041.493333333332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5" t="s">
        <v>102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2" t="s">
        <v>143</v>
      </c>
      <c r="C8" s="93"/>
      <c r="D8" s="93"/>
      <c r="E8" s="93"/>
      <c r="F8" s="93"/>
      <c r="G8" s="93"/>
      <c r="H8" s="94"/>
      <c r="I8" s="2"/>
    </row>
    <row r="9" spans="1:9" x14ac:dyDescent="0.25">
      <c r="A9" s="2"/>
      <c r="B9" s="80" t="s">
        <v>54</v>
      </c>
      <c r="C9" s="81"/>
      <c r="D9" s="81"/>
      <c r="E9" s="81"/>
      <c r="F9" s="82"/>
      <c r="G9" s="21">
        <v>39887</v>
      </c>
      <c r="H9" s="17" t="s">
        <v>4</v>
      </c>
      <c r="I9" s="2"/>
    </row>
    <row r="10" spans="1:9" x14ac:dyDescent="0.25">
      <c r="A10" s="2"/>
      <c r="B10" s="80" t="s">
        <v>55</v>
      </c>
      <c r="C10" s="81"/>
      <c r="D10" s="81"/>
      <c r="E10" s="81"/>
      <c r="F10" s="82"/>
      <c r="G10" s="21">
        <v>68000</v>
      </c>
      <c r="H10" s="17" t="s">
        <v>4</v>
      </c>
      <c r="I10" s="2"/>
    </row>
    <row r="11" spans="1:9" x14ac:dyDescent="0.25">
      <c r="A11" s="2"/>
      <c r="B11" s="89" t="s">
        <v>144</v>
      </c>
      <c r="C11" s="90"/>
      <c r="D11" s="90"/>
      <c r="E11" s="90"/>
      <c r="F11" s="91"/>
      <c r="G11" s="15">
        <f>G9-G10</f>
        <v>-28113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92" t="s">
        <v>145</v>
      </c>
      <c r="C14" s="93"/>
      <c r="D14" s="93"/>
      <c r="E14" s="93"/>
      <c r="F14" s="93"/>
      <c r="G14" s="93"/>
      <c r="H14" s="94"/>
      <c r="I14" s="2"/>
    </row>
    <row r="15" spans="1:9" x14ac:dyDescent="0.25">
      <c r="A15" s="2"/>
      <c r="B15" s="80" t="s">
        <v>56</v>
      </c>
      <c r="C15" s="81"/>
      <c r="D15" s="81"/>
      <c r="E15" s="81"/>
      <c r="F15" s="82"/>
      <c r="G15" s="21">
        <v>8439</v>
      </c>
      <c r="H15" s="17" t="s">
        <v>4</v>
      </c>
      <c r="I15" s="2"/>
    </row>
    <row r="16" spans="1:9" x14ac:dyDescent="0.25">
      <c r="A16" s="2"/>
      <c r="B16" s="80" t="s">
        <v>57</v>
      </c>
      <c r="C16" s="81"/>
      <c r="D16" s="81"/>
      <c r="E16" s="81"/>
      <c r="F16" s="82"/>
      <c r="G16" s="21">
        <v>6000</v>
      </c>
      <c r="H16" s="17" t="s">
        <v>4</v>
      </c>
      <c r="I16" s="2"/>
    </row>
    <row r="17" spans="1:9" x14ac:dyDescent="0.25">
      <c r="A17" s="2"/>
      <c r="B17" s="89" t="s">
        <v>145</v>
      </c>
      <c r="C17" s="90"/>
      <c r="D17" s="90"/>
      <c r="E17" s="90"/>
      <c r="F17" s="91"/>
      <c r="G17" s="15">
        <f>G15-G16</f>
        <v>2439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92" t="s">
        <v>146</v>
      </c>
      <c r="C20" s="93"/>
      <c r="D20" s="93"/>
      <c r="E20" s="93"/>
      <c r="F20" s="93"/>
      <c r="G20" s="93"/>
      <c r="H20" s="94"/>
      <c r="I20" s="2"/>
    </row>
    <row r="21" spans="1:9" x14ac:dyDescent="0.25">
      <c r="A21" s="2"/>
      <c r="B21" s="80" t="s">
        <v>58</v>
      </c>
      <c r="C21" s="81"/>
      <c r="D21" s="81"/>
      <c r="E21" s="81"/>
      <c r="F21" s="82"/>
      <c r="G21" s="21">
        <v>0</v>
      </c>
      <c r="H21" s="17" t="s">
        <v>4</v>
      </c>
      <c r="I21" s="2"/>
    </row>
    <row r="22" spans="1:9" x14ac:dyDescent="0.25">
      <c r="A22" s="2"/>
      <c r="B22" s="80" t="s">
        <v>59</v>
      </c>
      <c r="C22" s="81"/>
      <c r="D22" s="81"/>
      <c r="E22" s="81"/>
      <c r="F22" s="82"/>
      <c r="G22" s="21">
        <v>15000</v>
      </c>
      <c r="H22" s="17" t="s">
        <v>4</v>
      </c>
      <c r="I22" s="2"/>
    </row>
    <row r="23" spans="1:9" x14ac:dyDescent="0.25">
      <c r="A23" s="2"/>
      <c r="B23" s="89" t="s">
        <v>146</v>
      </c>
      <c r="C23" s="90"/>
      <c r="D23" s="90"/>
      <c r="E23" s="90"/>
      <c r="F23" s="91"/>
      <c r="G23" s="15">
        <f>G21-G22</f>
        <v>-15000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92" t="s">
        <v>147</v>
      </c>
      <c r="C26" s="93"/>
      <c r="D26" s="93"/>
      <c r="E26" s="93"/>
      <c r="F26" s="93"/>
      <c r="G26" s="93"/>
      <c r="H26" s="94"/>
      <c r="I26" s="2"/>
    </row>
    <row r="27" spans="1:9" ht="29.25" customHeight="1" x14ac:dyDescent="0.25">
      <c r="A27" s="2"/>
      <c r="B27" s="102" t="s">
        <v>60</v>
      </c>
      <c r="C27" s="103"/>
      <c r="D27" s="103"/>
      <c r="E27" s="103"/>
      <c r="F27" s="104"/>
      <c r="G27" s="21">
        <v>0</v>
      </c>
      <c r="H27" s="17" t="s">
        <v>4</v>
      </c>
      <c r="I27" s="2"/>
    </row>
    <row r="28" spans="1:9" x14ac:dyDescent="0.25">
      <c r="A28" s="2"/>
      <c r="B28" s="80" t="s">
        <v>61</v>
      </c>
      <c r="C28" s="81"/>
      <c r="D28" s="81"/>
      <c r="E28" s="81"/>
      <c r="F28" s="82"/>
      <c r="G28" s="21">
        <v>0</v>
      </c>
      <c r="H28" s="17" t="s">
        <v>4</v>
      </c>
      <c r="I28" s="2"/>
    </row>
    <row r="29" spans="1:9" ht="15" customHeight="1" x14ac:dyDescent="0.25">
      <c r="A29" s="2"/>
      <c r="B29" s="92" t="s">
        <v>147</v>
      </c>
      <c r="C29" s="93"/>
      <c r="D29" s="93"/>
      <c r="E29" s="93"/>
      <c r="F29" s="94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92" t="s">
        <v>62</v>
      </c>
      <c r="C32" s="93"/>
      <c r="D32" s="93"/>
      <c r="E32" s="93"/>
      <c r="F32" s="93"/>
      <c r="G32" s="93"/>
      <c r="H32" s="94"/>
      <c r="I32" s="2"/>
    </row>
    <row r="33" spans="1:9" x14ac:dyDescent="0.25">
      <c r="A33" s="2"/>
      <c r="B33" s="80" t="s">
        <v>63</v>
      </c>
      <c r="C33" s="81"/>
      <c r="D33" s="81"/>
      <c r="E33" s="81"/>
      <c r="F33" s="82"/>
      <c r="G33" s="9">
        <f>'Fane 6. Gen. inv. i 2016'!F17</f>
        <v>25041.493333333332</v>
      </c>
      <c r="H33" s="17" t="s">
        <v>4</v>
      </c>
      <c r="I33" s="2"/>
    </row>
    <row r="34" spans="1:9" x14ac:dyDescent="0.25">
      <c r="A34" s="2"/>
      <c r="B34" s="80" t="s">
        <v>64</v>
      </c>
      <c r="C34" s="81"/>
      <c r="D34" s="81"/>
      <c r="E34" s="81"/>
      <c r="F34" s="82"/>
      <c r="G34" s="21">
        <v>22833.333333333332</v>
      </c>
      <c r="H34" s="17" t="s">
        <v>4</v>
      </c>
      <c r="I34" s="2"/>
    </row>
    <row r="35" spans="1:9" x14ac:dyDescent="0.25">
      <c r="A35" s="2"/>
      <c r="B35" s="89" t="s">
        <v>62</v>
      </c>
      <c r="C35" s="90"/>
      <c r="D35" s="90"/>
      <c r="E35" s="90"/>
      <c r="F35" s="91"/>
      <c r="G35" s="15">
        <f>G33-G34</f>
        <v>2208.16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9" t="s">
        <v>148</v>
      </c>
      <c r="C38" s="90"/>
      <c r="D38" s="90"/>
      <c r="E38" s="90"/>
      <c r="F38" s="90"/>
      <c r="G38" s="90"/>
      <c r="H38" s="91"/>
      <c r="I38" s="2"/>
    </row>
    <row r="39" spans="1:9" x14ac:dyDescent="0.25">
      <c r="A39" s="2"/>
      <c r="B39" s="80" t="s">
        <v>95</v>
      </c>
      <c r="C39" s="81"/>
      <c r="D39" s="81"/>
      <c r="E39" s="81"/>
      <c r="F39" s="82"/>
      <c r="G39" s="21">
        <v>0</v>
      </c>
      <c r="H39" s="17" t="s">
        <v>4</v>
      </c>
      <c r="I39" s="2"/>
    </row>
    <row r="40" spans="1:9" x14ac:dyDescent="0.25">
      <c r="A40" s="2"/>
      <c r="B40" s="80" t="s">
        <v>53</v>
      </c>
      <c r="C40" s="81"/>
      <c r="D40" s="81"/>
      <c r="E40" s="81"/>
      <c r="F40" s="82"/>
      <c r="G40" s="21">
        <v>34458.557999999997</v>
      </c>
      <c r="H40" s="17" t="s">
        <v>4</v>
      </c>
      <c r="I40" s="2"/>
    </row>
    <row r="41" spans="1:9" x14ac:dyDescent="0.25">
      <c r="A41" s="2"/>
      <c r="B41" s="89" t="s">
        <v>148</v>
      </c>
      <c r="C41" s="90"/>
      <c r="D41" s="90"/>
      <c r="E41" s="90"/>
      <c r="F41" s="91"/>
      <c r="G41" s="15">
        <f>G39-G40</f>
        <v>-34458.557999999997</v>
      </c>
      <c r="H41" s="16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5" t="s">
        <v>103</v>
      </c>
      <c r="C3" s="95"/>
      <c r="D3" s="95"/>
      <c r="E3" s="95"/>
      <c r="F3" s="95"/>
      <c r="G3" s="95"/>
      <c r="H3" s="95"/>
      <c r="I3" s="2"/>
    </row>
    <row r="4" spans="1:9" ht="15" customHeight="1" x14ac:dyDescent="0.25">
      <c r="A4" s="2"/>
      <c r="B4" s="95"/>
      <c r="C4" s="95"/>
      <c r="D4" s="95"/>
      <c r="E4" s="95"/>
      <c r="F4" s="95"/>
      <c r="G4" s="95"/>
      <c r="H4" s="9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9" t="s">
        <v>65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105" t="s">
        <v>66</v>
      </c>
      <c r="C9" s="106"/>
      <c r="D9" s="106"/>
      <c r="E9" s="106"/>
      <c r="F9" s="107"/>
      <c r="G9" s="20">
        <v>1272582.2793073927</v>
      </c>
      <c r="H9" s="25" t="s">
        <v>4</v>
      </c>
      <c r="I9" s="2"/>
    </row>
    <row r="10" spans="1:9" x14ac:dyDescent="0.25">
      <c r="A10" s="2"/>
      <c r="B10" s="89" t="s">
        <v>67</v>
      </c>
      <c r="C10" s="90"/>
      <c r="D10" s="90"/>
      <c r="E10" s="90"/>
      <c r="F10" s="90"/>
      <c r="G10" s="90"/>
      <c r="H10" s="91"/>
      <c r="I10" s="2"/>
    </row>
    <row r="11" spans="1:9" x14ac:dyDescent="0.25">
      <c r="A11" s="2"/>
      <c r="B11" s="80" t="s">
        <v>16</v>
      </c>
      <c r="C11" s="81"/>
      <c r="D11" s="82"/>
      <c r="E11" s="21">
        <v>369627</v>
      </c>
      <c r="F11" s="17" t="s">
        <v>4</v>
      </c>
      <c r="G11" s="14"/>
      <c r="H11" s="29"/>
      <c r="I11" s="2"/>
    </row>
    <row r="12" spans="1:9" x14ac:dyDescent="0.25">
      <c r="A12" s="2"/>
      <c r="B12" s="80" t="s">
        <v>68</v>
      </c>
      <c r="C12" s="81"/>
      <c r="D12" s="82"/>
      <c r="E12" s="21">
        <v>227234</v>
      </c>
      <c r="F12" s="17" t="s">
        <v>4</v>
      </c>
      <c r="G12" s="10"/>
      <c r="H12" s="30"/>
      <c r="I12" s="2"/>
    </row>
    <row r="13" spans="1:9" x14ac:dyDescent="0.25">
      <c r="A13" s="2"/>
      <c r="B13" s="80" t="s">
        <v>69</v>
      </c>
      <c r="C13" s="81"/>
      <c r="D13" s="82"/>
      <c r="E13" s="21">
        <v>-8304</v>
      </c>
      <c r="F13" s="17" t="s">
        <v>4</v>
      </c>
      <c r="G13" s="10"/>
      <c r="H13" s="30"/>
      <c r="I13" s="2"/>
    </row>
    <row r="14" spans="1:9" x14ac:dyDescent="0.25">
      <c r="A14" s="2"/>
      <c r="B14" s="80" t="s">
        <v>70</v>
      </c>
      <c r="C14" s="81"/>
      <c r="D14" s="82"/>
      <c r="E14" s="21">
        <v>41120</v>
      </c>
      <c r="F14" s="17" t="s">
        <v>4</v>
      </c>
      <c r="G14" s="10"/>
      <c r="H14" s="30"/>
      <c r="I14" s="2"/>
    </row>
    <row r="15" spans="1:9" x14ac:dyDescent="0.25">
      <c r="A15" s="2"/>
      <c r="B15" s="105" t="s">
        <v>17</v>
      </c>
      <c r="C15" s="106"/>
      <c r="D15" s="107"/>
      <c r="E15" s="12">
        <f>SUM(E11:E14)</f>
        <v>629677</v>
      </c>
      <c r="F15" s="25" t="s">
        <v>4</v>
      </c>
      <c r="G15" s="10"/>
      <c r="H15" s="30"/>
      <c r="I15" s="2"/>
    </row>
    <row r="16" spans="1:9" x14ac:dyDescent="0.25">
      <c r="A16" s="2"/>
      <c r="B16" s="80" t="s">
        <v>18</v>
      </c>
      <c r="C16" s="81"/>
      <c r="D16" s="82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80" t="s">
        <v>19</v>
      </c>
      <c r="C17" s="81"/>
      <c r="D17" s="82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0" t="s">
        <v>20</v>
      </c>
      <c r="C18" s="81"/>
      <c r="D18" s="82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5" t="s">
        <v>21</v>
      </c>
      <c r="C19" s="106"/>
      <c r="D19" s="107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2" t="s">
        <v>22</v>
      </c>
      <c r="C20" s="103"/>
      <c r="D20" s="104"/>
      <c r="E20" s="21">
        <v>-100000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2" t="s">
        <v>23</v>
      </c>
      <c r="C21" s="103"/>
      <c r="D21" s="104"/>
      <c r="E21" s="21">
        <v>-534546</v>
      </c>
      <c r="F21" s="17" t="s">
        <v>4</v>
      </c>
      <c r="G21" s="10"/>
      <c r="H21" s="30"/>
      <c r="I21" s="2"/>
    </row>
    <row r="22" spans="1:9" x14ac:dyDescent="0.25">
      <c r="A22" s="2"/>
      <c r="B22" s="80" t="s">
        <v>24</v>
      </c>
      <c r="C22" s="81"/>
      <c r="D22" s="82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0" t="s">
        <v>25</v>
      </c>
      <c r="C23" s="81"/>
      <c r="D23" s="82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2" t="s">
        <v>26</v>
      </c>
      <c r="C24" s="103"/>
      <c r="D24" s="104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2" t="s">
        <v>27</v>
      </c>
      <c r="C25" s="103"/>
      <c r="D25" s="104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2" t="s">
        <v>28</v>
      </c>
      <c r="C26" s="103"/>
      <c r="D26" s="104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5" t="s">
        <v>29</v>
      </c>
      <c r="C27" s="106"/>
      <c r="D27" s="107"/>
      <c r="E27" s="12">
        <f>SUM(E20:E26)</f>
        <v>-634546</v>
      </c>
      <c r="F27" s="25" t="s">
        <v>4</v>
      </c>
      <c r="G27" s="11"/>
      <c r="H27" s="31"/>
      <c r="I27" s="2"/>
    </row>
    <row r="28" spans="1:9" x14ac:dyDescent="0.25">
      <c r="A28" s="2"/>
      <c r="B28" s="105" t="s">
        <v>30</v>
      </c>
      <c r="C28" s="106"/>
      <c r="D28" s="107"/>
      <c r="E28" s="12">
        <f>E15+E19+E27</f>
        <v>-4869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89" t="s">
        <v>71</v>
      </c>
      <c r="C29" s="90"/>
      <c r="D29" s="90"/>
      <c r="E29" s="90"/>
      <c r="F29" s="90"/>
      <c r="G29" s="90"/>
      <c r="H29" s="91"/>
      <c r="I29" s="2"/>
    </row>
    <row r="30" spans="1:9" x14ac:dyDescent="0.25">
      <c r="A30" s="2"/>
      <c r="B30" s="105" t="s">
        <v>71</v>
      </c>
      <c r="C30" s="106"/>
      <c r="D30" s="107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8" t="s">
        <v>44</v>
      </c>
      <c r="C31" s="90"/>
      <c r="D31" s="90"/>
      <c r="E31" s="90"/>
      <c r="F31" s="90"/>
      <c r="G31" s="90"/>
      <c r="H31" s="91"/>
      <c r="I31" s="2"/>
    </row>
    <row r="32" spans="1:9" ht="30" customHeight="1" x14ac:dyDescent="0.25">
      <c r="A32" s="2"/>
      <c r="B32" s="102" t="s">
        <v>45</v>
      </c>
      <c r="C32" s="103"/>
      <c r="D32" s="104"/>
      <c r="E32" s="21">
        <v>1282033</v>
      </c>
      <c r="F32" s="17" t="s">
        <v>4</v>
      </c>
      <c r="G32" s="14"/>
      <c r="H32" s="29"/>
      <c r="I32" s="2"/>
    </row>
    <row r="33" spans="1:9" x14ac:dyDescent="0.25">
      <c r="A33" s="2"/>
      <c r="B33" s="80" t="s">
        <v>31</v>
      </c>
      <c r="C33" s="81"/>
      <c r="D33" s="82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2" t="s">
        <v>32</v>
      </c>
      <c r="C34" s="103"/>
      <c r="D34" s="104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5" t="s">
        <v>33</v>
      </c>
      <c r="C35" s="106"/>
      <c r="D35" s="107"/>
      <c r="E35" s="12">
        <f>SUM(E32:E34)</f>
        <v>1282033</v>
      </c>
      <c r="F35" s="25" t="s">
        <v>4</v>
      </c>
      <c r="G35" s="12">
        <f>-E35</f>
        <v>-1282033</v>
      </c>
      <c r="H35" s="25" t="s">
        <v>4</v>
      </c>
      <c r="I35" s="2"/>
    </row>
    <row r="36" spans="1:9" x14ac:dyDescent="0.25">
      <c r="A36" s="2"/>
      <c r="B36" s="89" t="s">
        <v>142</v>
      </c>
      <c r="C36" s="90"/>
      <c r="D36" s="90"/>
      <c r="E36" s="90"/>
      <c r="F36" s="91"/>
      <c r="G36" s="15">
        <f>$G$9+$G$28+$G$30+$G$35</f>
        <v>-9450.7206926073413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4" t="s">
        <v>104</v>
      </c>
      <c r="C3" s="84"/>
      <c r="D3" s="84"/>
      <c r="E3" s="84"/>
      <c r="F3" s="84"/>
      <c r="G3" s="84"/>
      <c r="H3" s="2"/>
    </row>
    <row r="4" spans="1:8" ht="15" customHeight="1" x14ac:dyDescent="0.25">
      <c r="A4" s="2"/>
      <c r="B4" s="84"/>
      <c r="C4" s="84"/>
      <c r="D4" s="84"/>
      <c r="E4" s="84"/>
      <c r="F4" s="84"/>
      <c r="G4" s="8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9" t="s">
        <v>140</v>
      </c>
      <c r="C8" s="90"/>
      <c r="D8" s="90"/>
      <c r="E8" s="90"/>
      <c r="F8" s="90"/>
      <c r="G8" s="91"/>
      <c r="H8" s="2"/>
    </row>
    <row r="9" spans="1:8" ht="29.25" customHeight="1" x14ac:dyDescent="0.25">
      <c r="A9" s="2"/>
      <c r="B9" s="86" t="s">
        <v>79</v>
      </c>
      <c r="C9" s="88"/>
      <c r="D9" s="101" t="s">
        <v>40</v>
      </c>
      <c r="E9" s="101"/>
      <c r="F9" s="101" t="s">
        <v>84</v>
      </c>
      <c r="G9" s="101"/>
      <c r="H9" s="2"/>
    </row>
    <row r="10" spans="1:8" x14ac:dyDescent="0.25">
      <c r="A10" s="2"/>
      <c r="B10" s="109" t="s">
        <v>141</v>
      </c>
      <c r="C10" s="110"/>
      <c r="D10" s="48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89" t="s">
        <v>86</v>
      </c>
      <c r="C11" s="90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9" t="s">
        <v>97</v>
      </c>
      <c r="C12" s="91"/>
      <c r="D12" s="15">
        <f>D11*(1+'Fane 2. Overblik ØR18-21'!E26/100)</f>
        <v>0</v>
      </c>
      <c r="E12" s="16" t="s">
        <v>4</v>
      </c>
      <c r="F12" s="15">
        <f>F11*(1+'Fane 2. Overblik ØR18-21'!E26/100)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9" t="s">
        <v>151</v>
      </c>
      <c r="C15" s="90"/>
      <c r="D15" s="90"/>
      <c r="E15" s="90"/>
      <c r="F15" s="90"/>
      <c r="G15" s="91"/>
      <c r="H15" s="2"/>
    </row>
    <row r="16" spans="1:8" ht="15" customHeight="1" x14ac:dyDescent="0.25">
      <c r="A16" s="2"/>
      <c r="B16" s="86" t="s">
        <v>152</v>
      </c>
      <c r="C16" s="87"/>
      <c r="D16" s="87"/>
      <c r="E16" s="88"/>
      <c r="F16" s="101" t="s">
        <v>137</v>
      </c>
      <c r="G16" s="101"/>
      <c r="H16" s="2"/>
    </row>
    <row r="17" spans="1:8" x14ac:dyDescent="0.25">
      <c r="A17" s="2"/>
      <c r="B17" s="80" t="s">
        <v>150</v>
      </c>
      <c r="C17" s="81"/>
      <c r="D17" s="81"/>
      <c r="E17" s="82"/>
      <c r="F17" s="21">
        <v>0</v>
      </c>
      <c r="G17" s="17" t="s">
        <v>4</v>
      </c>
      <c r="H17" s="2"/>
    </row>
    <row r="18" spans="1:8" x14ac:dyDescent="0.25">
      <c r="A18" s="2"/>
      <c r="B18" s="89" t="s">
        <v>138</v>
      </c>
      <c r="C18" s="90"/>
      <c r="D18" s="90"/>
      <c r="E18" s="91"/>
      <c r="F18" s="15">
        <f>SUM(F17:F17)</f>
        <v>0</v>
      </c>
      <c r="G18" s="16" t="s">
        <v>4</v>
      </c>
      <c r="H18" s="2"/>
    </row>
    <row r="19" spans="1:8" x14ac:dyDescent="0.25">
      <c r="A19" s="2"/>
      <c r="B19" s="89" t="s">
        <v>139</v>
      </c>
      <c r="C19" s="90"/>
      <c r="D19" s="90"/>
      <c r="E19" s="91"/>
      <c r="F19" s="15">
        <f>F18*(1+'Fane 2. Overblik ØR18-21'!E26/100)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2017-09-15T12:03:52Z</dcterms:modified>
</cp:coreProperties>
</file>