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M3" i="16" s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6" i="16"/>
  <c r="G5" i="16"/>
  <c r="I5" i="16"/>
  <c r="J3" i="24"/>
  <c r="F5" i="16"/>
  <c r="G6" i="16"/>
  <c r="F6" i="16"/>
  <c r="I6" i="16"/>
  <c r="H5" i="16"/>
  <c r="L3" i="16" l="1"/>
  <c r="M3" i="24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<sst xmlns="http://schemas.openxmlformats.org/spreadsheetml/2006/main" count="118" uniqueCount="78">
  <si>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</si>
  <si>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</si>
  <si>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</si>
  <si>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</si>
  <si>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</si>
  <si>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</si>
  <si>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</si>
  <si>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</si>
  <si>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</si>
  <si>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</si>
  <si>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</si>
  <si>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</si>
  <si>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</si>
  <si>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</si>
  <si>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</si>
  <si>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</si>
  <si>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</si>
  <si>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</si>
  <si>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</si>
  <si>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</si>
  <si>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</si>
  <si>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</si>
  <si>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</si>
  <si>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</si>
  <si>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</si>
  <si>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Beredskabsplan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</si>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</sst>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14991637.436460357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1818779.6625969601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190850.29559999998</v>
      </c>
      <c r="C4" t="s">
        <v>11</v>
      </c>
    </row>
    <row r="5" spans="1:3" s="26" customFormat="1" x14ac:dyDescent="0.25">
      <c r="A5" s="3" t="s">
        <v>12</v>
      </c>
      <c r="B5" s="49">
        <f>SUM(B2:B4)</f>
        <v>17001267.394657318</v>
      </c>
      <c r="C5" s="64" t="s">
        <v>11</v>
      </c>
    </row>
    <row r="6" spans="1:3" x14ac:dyDescent="0.25">
      <c r="A6" s="48" t="s">
        <v>0</v>
      </c>
      <c r="B6" s="39">
        <f>Investeringer!E3</f>
        <v>21611355.062943488</v>
      </c>
      <c r="C6" s="23" t="s">
        <v>11</v>
      </c>
    </row>
    <row r="7" spans="1:3" x14ac:dyDescent="0.25">
      <c r="A7" s="4" t="s">
        <v>1</v>
      </c>
      <c r="B7" s="36">
        <f>Investeringer!F3</f>
        <v>6177457.0822147718</v>
      </c>
      <c r="C7" t="s">
        <v>11</v>
      </c>
    </row>
    <row r="8" spans="1:3" x14ac:dyDescent="0.25">
      <c r="A8" s="4" t="s">
        <v>2</v>
      </c>
      <c r="B8" s="36">
        <f>Investeringer!G3</f>
        <v>306319.38452787272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4259277.2947533326</v>
      </c>
      <c r="C9" t="s">
        <v>11</v>
      </c>
    </row>
    <row r="10" spans="1:3" s="22" customFormat="1" x14ac:dyDescent="0.25">
      <c r="A10" s="3" t="s">
        <v>50</v>
      </c>
      <c r="B10" s="49">
        <f>SUM(B6:B9)</f>
        <v>32354408.824439466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24096503.800000001</v>
      </c>
      <c r="C11" t="s">
        <v>11</v>
      </c>
    </row>
    <row r="12" spans="1:3" s="22" customFormat="1" x14ac:dyDescent="0.25">
      <c r="A12" s="3" t="s">
        <v>71</v>
      </c>
      <c r="B12" s="49">
        <f>SUM(B11:B11)</f>
        <v>24096503.800000001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73452180.019096777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74102359.619059011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14882788.15</v>
      </c>
      <c r="C2" s="50">
        <v>0</v>
      </c>
      <c r="D2" s="50">
        <f>B2+C2</f>
        <v>14882788.15</v>
      </c>
      <c r="E2" s="51">
        <f>D2</f>
        <v>14882788.15</v>
      </c>
      <c r="F2" s="50">
        <v>14991637.464737071</v>
      </c>
      <c r="G2" s="50">
        <v>0</v>
      </c>
      <c r="H2" s="50">
        <f>F2-G2</f>
        <v>14991637.464737071</v>
      </c>
      <c r="I2" s="50">
        <f>AVERAGEIF(E2:E4,"&lt;&gt;0")</f>
        <v>14942360.980601331</v>
      </c>
      <c r="J2" s="50">
        <v>14991637.436460357</v>
      </c>
      <c r="K2" s="40">
        <f>IF(H2&gt;I2,IF(I2&gt;J2,I2,J2),H2)</f>
        <v>14991637.436460357</v>
      </c>
    </row>
    <row r="3" spans="1:11" s="23" customFormat="1" x14ac:dyDescent="0.25">
      <c r="A3" s="28">
        <v>2014</v>
      </c>
      <c r="B3" s="50">
        <v>14974145.51</v>
      </c>
      <c r="C3" s="50"/>
      <c r="D3" s="50">
        <f t="shared" ref="D3:D4" si="0">B3+C3</f>
        <v>14974145.51</v>
      </c>
      <c r="E3" s="51">
        <f>D3*Pristalsregulering!C7</f>
        <v>14986124.826407999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14725333</v>
      </c>
      <c r="C4" s="50"/>
      <c r="D4" s="50">
        <f t="shared" si="0"/>
        <v>14725333</v>
      </c>
      <c r="E4" s="51">
        <f>D4*Pristalsregulering!$C$6*Pristalsregulering!$C$7</f>
        <v>14958169.965395998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75" width="0" hidden="1" customWidth="1"/>
    <col min="76" max="76" width="9.140625" hidden="1" customWidth="1"/>
    <col min="77" max="96" width="0" hidden="1" customWidth="1"/>
    <col min="97" max="97" width="9.140625" hidden="1" customWidth="1"/>
    <col min="98" max="101" width="0" hidden="1" customWidth="1"/>
    <col min="102" max="102" width="9.140625" hidden="1" customWidth="1"/>
    <col min="103" max="118" width="0" hidden="1" customWidth="1"/>
    <col min="119" max="119" width="9.140625" hidden="1" customWidth="1"/>
    <col min="120" max="123" width="0" hidden="1" customWidth="1"/>
    <col min="124" max="124" width="9.140625" hidden="1" customWidth="1"/>
    <col min="125" max="136" width="0" hidden="1" customWidth="1"/>
    <col min="137" max="137" width="9.140625" hidden="1" customWidth="1"/>
    <col min="138" max="157" width="0" hidden="1" customWidth="1"/>
    <col min="158" max="158" width="9.140625" hidden="1" customWidth="1"/>
    <col min="159" max="162" width="0" hidden="1" customWidth="1"/>
    <col min="163" max="163" width="9.140625" hidden="1" customWidth="1"/>
    <col min="164" max="179" width="0" hidden="1" customWidth="1"/>
    <col min="180" max="180" width="9.140625" hidden="1" customWidth="1"/>
    <col min="181" max="184" width="0" hidden="1" customWidth="1"/>
    <col min="185" max="185" width="9.140625" hidden="1" customWidth="1"/>
    <col min="186" max="200" width="0" hidden="1" customWidth="1"/>
    <col min="201" max="201" width="9.140625" hidden="1" customWidth="1"/>
    <col min="202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22" width="0" hidden="1" customWidth="1"/>
    <col min="223" max="223" width="9.140625" hidden="1" customWidth="1"/>
    <col min="224" max="227" width="0" hidden="1" customWidth="1"/>
    <col min="228" max="228" width="9.140625" hidden="1" customWidth="1"/>
    <col min="229" max="232" width="0" hidden="1" customWidth="1"/>
    <col min="233" max="233" width="9.140625" hidden="1" customWidth="1"/>
    <col min="234" max="240" width="0" hidden="1" customWidth="1"/>
    <col min="241" max="241" width="9.140625" hidden="1" customWidth="1"/>
    <col min="242" max="245" width="0" hidden="1" customWidth="1"/>
    <col min="246" max="246" width="9.140625" hidden="1" customWidth="1"/>
    <col min="247" max="261" width="0" hidden="1" customWidth="1"/>
    <col min="262" max="262" width="9.140625" hidden="1" customWidth="1"/>
    <col min="263" max="266" width="0" hidden="1" customWidth="1"/>
    <col min="267" max="267" width="9.140625" hidden="1" customWidth="1"/>
    <col min="268" max="271" width="0" hidden="1" customWidth="1"/>
    <col min="272" max="272" width="9.140625" hidden="1" customWidth="1"/>
    <col min="273" max="283" width="0" hidden="1" customWidth="1"/>
    <col min="284" max="284" width="9.140625" hidden="1" customWidth="1"/>
    <col min="285" max="288" width="0" hidden="1" customWidth="1"/>
    <col min="289" max="289" width="9.140625" hidden="1" customWidth="1"/>
    <col min="290" max="293" width="0" hidden="1" customWidth="1"/>
    <col min="294" max="294" width="9.140625" hidden="1" customWidth="1"/>
    <col min="295" max="304" width="0" hidden="1" customWidth="1"/>
    <col min="305" max="305" width="9.140625" hidden="1" customWidth="1"/>
    <col min="306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6" width="0" hidden="1" customWidth="1"/>
    <col min="327" max="327" width="9.140625" hidden="1" customWidth="1"/>
    <col min="328" max="331" width="0" hidden="1" customWidth="1"/>
    <col min="332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236418.41</v>
      </c>
      <c r="D3" s="75">
        <v>0</v>
      </c>
      <c r="E3" s="75">
        <v>42979.79</v>
      </c>
      <c r="F3" s="46">
        <f>B3/Pristalsregulering!$C$8</f>
        <v>0</v>
      </c>
      <c r="G3" s="36">
        <f>C3/Pristalsregulering!$C$8</f>
        <v>237320.22686207588</v>
      </c>
      <c r="H3" s="36">
        <f>D3/Pristalsregulering!$C$8</f>
        <v>0</v>
      </c>
      <c r="I3" s="36">
        <f>E3/Pristalsregulering!$C$8</f>
        <v>43143.736197550694</v>
      </c>
      <c r="J3" s="46">
        <f>IF(F4=0,0,AVERAGEIF(F4:F6,"&lt;&gt;0"))+F3</f>
        <v>534193.93953733332</v>
      </c>
      <c r="K3" s="39">
        <f>IF(G4=0,0,AVERAGEIF(G4:G6,"&lt;&gt;0"))+G3</f>
        <v>237320.22686207588</v>
      </c>
      <c r="L3" s="39">
        <f>IF(H4=0,0,AVERAGEIF(H4:H6,"&lt;&gt;0"))+H3</f>
        <v>1004121.76</v>
      </c>
      <c r="M3" s="39">
        <f>IF(I4=0,0,AVERAGEIF(I4:I6,"&lt;&gt;0"))+I3</f>
        <v>43143.736197550694</v>
      </c>
      <c r="N3" s="59">
        <f>SUM(J3:M3)</f>
        <v>1818779.6625969601</v>
      </c>
    </row>
    <row r="4" spans="1:14" x14ac:dyDescent="0.25">
      <c r="A4" s="28">
        <v>2015</v>
      </c>
      <c r="B4" s="36">
        <v>395987.8</v>
      </c>
      <c r="C4" s="36"/>
      <c r="D4" s="36">
        <v>1004121.76</v>
      </c>
      <c r="E4" s="36"/>
      <c r="F4" s="46">
        <f>B4</f>
        <v>395987.8</v>
      </c>
      <c r="G4" s="36">
        <f t="shared" ref="G4:I4" si="0">C4</f>
        <v>0</v>
      </c>
      <c r="H4" s="36">
        <f t="shared" si="0"/>
        <v>1004121.76</v>
      </c>
      <c r="I4" s="36">
        <f t="shared" si="0"/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899928.77</v>
      </c>
      <c r="C5" s="36"/>
      <c r="D5" s="36"/>
      <c r="E5" s="36"/>
      <c r="F5" s="46">
        <f>B5*Pristalsregulering!$C$7</f>
        <v>900648.71301599999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301183</v>
      </c>
      <c r="C6" s="36"/>
      <c r="D6" s="36"/>
      <c r="E6" s="36"/>
      <c r="F6" s="46">
        <f>B6*Pristalsregulering!$C$7*Pristalsregulering!$C$6</f>
        <v>305945.30559599993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18500</v>
      </c>
      <c r="C3" s="43">
        <v>207040</v>
      </c>
      <c r="D3" s="43">
        <v>0</v>
      </c>
      <c r="E3" s="42">
        <f>B3</f>
        <v>18500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190850.29559999998</v>
      </c>
    </row>
    <row r="4" spans="1:8" x14ac:dyDescent="0.25">
      <c r="A4" s="31">
        <v>2014</v>
      </c>
      <c r="B4" s="42">
        <v>18500</v>
      </c>
      <c r="C4" s="43">
        <v>156800</v>
      </c>
      <c r="D4" s="43">
        <v>0</v>
      </c>
      <c r="E4" s="42">
        <f>B4*Pristalsregulering!$C$7</f>
        <v>18514.8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18500</v>
      </c>
      <c r="C5" s="43">
        <v>150400</v>
      </c>
      <c r="D5" s="43">
        <v>0</v>
      </c>
      <c r="E5" s="42">
        <f>B5*Pristalsregulering!$C$7*Pristalsregulering!$C$6</f>
        <v>18792.521999999997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19850625.155622274</v>
      </c>
      <c r="C3" s="39">
        <v>5892905.1429333314</v>
      </c>
      <c r="D3" s="41">
        <v>305155.37086666678</v>
      </c>
      <c r="E3" s="36">
        <f>B3*Pristalsregulering!C2*Pristalsregulering!C3*Pristalsregulering!C4*Pristalsregulering!C5*Pristalsregulering!C6*Pristalsregulering!C7</f>
        <v>21611355.062943488</v>
      </c>
      <c r="F3" s="36">
        <v>6177457.0822147718</v>
      </c>
      <c r="G3" s="36">
        <f xml:space="preserve"> D3/Pristalsregulering!$C$8</f>
        <v>306319.38452787272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199975.42</v>
      </c>
      <c r="C3" s="39">
        <v>3758794.65</v>
      </c>
      <c r="D3" s="39">
        <v>1684.44</v>
      </c>
      <c r="E3" s="41">
        <v>0</v>
      </c>
      <c r="F3" s="39">
        <f>B3</f>
        <v>199975.42</v>
      </c>
      <c r="G3" s="39">
        <f>C3</f>
        <v>3758794.65</v>
      </c>
      <c r="H3" s="39">
        <f>D3</f>
        <v>1684.44</v>
      </c>
      <c r="I3" s="41">
        <f>E3</f>
        <v>0</v>
      </c>
      <c r="J3" s="43">
        <f>AVERAGE(F3:F5)</f>
        <v>201819.74424933331</v>
      </c>
      <c r="K3" s="43">
        <f>G3</f>
        <v>3758794.65</v>
      </c>
      <c r="L3" s="44">
        <f>AVERAGE(H3:H5)+AVERAGE(I3:I5)</f>
        <v>298662.90050399996</v>
      </c>
      <c r="M3" s="45">
        <f>SUM(J3:L3)</f>
        <v>4259277.2947533326</v>
      </c>
      <c r="N3" s="23"/>
    </row>
    <row r="4" spans="1:14" x14ac:dyDescent="0.25">
      <c r="A4" s="28">
        <v>2014</v>
      </c>
      <c r="B4" s="46">
        <v>120434.93</v>
      </c>
      <c r="C4" s="39">
        <v>2108543.2400000002</v>
      </c>
      <c r="D4" s="39">
        <v>440924.39</v>
      </c>
      <c r="E4" s="41">
        <v>427290</v>
      </c>
      <c r="F4" s="39">
        <f>IF(B4="","",B4*Pristalsregulering!$C$7)</f>
        <v>120531.27794399999</v>
      </c>
      <c r="G4" s="39">
        <f>IF(C4="","",C4*Pristalsregulering!$C$7)</f>
        <v>2110230.0745919999</v>
      </c>
      <c r="H4" s="39">
        <f>IF(D4="","",D4*Pristalsregulering!$C$7)</f>
        <v>441277.12951199996</v>
      </c>
      <c r="I4" s="41">
        <f>IF(E4="","",E4*Pristalsregulering!$C$7)</f>
        <v>427631.83199999994</v>
      </c>
      <c r="J4" s="39"/>
      <c r="L4" s="41"/>
      <c r="M4" s="36"/>
    </row>
    <row r="5" spans="1:14" x14ac:dyDescent="0.25">
      <c r="A5" s="28">
        <v>2013</v>
      </c>
      <c r="B5" s="46">
        <v>280517</v>
      </c>
      <c r="C5" s="39">
        <v>2366470</v>
      </c>
      <c r="D5" s="39">
        <v>25000</v>
      </c>
      <c r="E5" s="41">
        <v>0</v>
      </c>
      <c r="F5" s="39">
        <f>IF(B5="","",B5*Pristalsregulering!$C$7*Pristalsregulering!$C$6)</f>
        <v>284952.53480399994</v>
      </c>
      <c r="G5" s="39">
        <f>IF(C5="","",C5*Pristalsregulering!$C$7*Pristalsregulering!$C$6)</f>
        <v>2403888.6236399999</v>
      </c>
      <c r="H5" s="39">
        <f>IF(D5="","",D5*Pristalsregulering!$C$7*Pristalsregulering!$C$6)</f>
        <v>25395.299999999996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63140.06</v>
      </c>
      <c r="E2" s="43">
        <v>0</v>
      </c>
      <c r="F2" s="43">
        <v>0</v>
      </c>
      <c r="G2" s="43">
        <v>24000841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24096503.800000001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2017-09-13T12:27:14Z</dcterms:modified>
</cp:coreProperties>
</file>