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O3" i="16" l="1"/>
  <c r="N3" i="16"/>
  <c r="M3" i="16"/>
  <c r="L3" i="16"/>
  <c r="K3" i="16"/>
  <c r="J3" i="16"/>
  <c r="I3" i="16"/>
  <c r="G3" i="20"/>
  <c r="H2" i="15" l="1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O4" i="16" l="1"/>
  <c r="V3" i="16" l="1"/>
  <c r="F3" i="17"/>
  <c r="G3" i="17"/>
  <c r="J4" i="16" l="1"/>
  <c r="K4" i="16"/>
  <c r="R3" i="16" s="1"/>
  <c r="L4" i="16"/>
  <c r="M4" i="16"/>
  <c r="N4" i="16"/>
  <c r="U3" i="16" s="1"/>
  <c r="I4" i="16"/>
  <c r="G3" i="24"/>
  <c r="K3" i="24" s="1"/>
  <c r="H3" i="24"/>
  <c r="I3" i="24"/>
  <c r="F3" i="24"/>
  <c r="B11" i="12"/>
  <c r="B12" i="12" s="1"/>
  <c r="E3" i="17"/>
  <c r="C7" i="27"/>
  <c r="C6" i="27"/>
  <c r="C5" i="27"/>
  <c r="C4" i="27"/>
  <c r="C3" i="27"/>
  <c r="L3" i="24" l="1"/>
  <c r="E4" i="15"/>
  <c r="E3" i="15"/>
  <c r="O6" i="16"/>
  <c r="O5" i="16"/>
  <c r="G5" i="17"/>
  <c r="F4" i="17"/>
  <c r="E5" i="17"/>
  <c r="G4" i="17"/>
  <c r="E4" i="17"/>
  <c r="F5" i="17"/>
  <c r="J5" i="16"/>
  <c r="Q3" i="16" s="1"/>
  <c r="L6" i="16"/>
  <c r="N6" i="16"/>
  <c r="M5" i="16"/>
  <c r="J6" i="16"/>
  <c r="J3" i="24"/>
  <c r="M3" i="24" s="1"/>
  <c r="I5" i="16"/>
  <c r="P3" i="16" s="1"/>
  <c r="M6" i="16"/>
  <c r="K5" i="16"/>
  <c r="I6" i="16"/>
  <c r="K6" i="16"/>
  <c r="N5" i="16"/>
  <c r="L5" i="16"/>
  <c r="S3" i="16" s="1"/>
  <c r="T3" i="16" l="1"/>
  <c r="B9" i="12"/>
  <c r="B10" i="12" s="1"/>
  <c r="H3" i="17"/>
  <c r="B4" i="12" s="1"/>
  <c r="I2" i="15"/>
  <c r="K2" i="15" l="1"/>
  <c r="B2" i="12" s="1"/>
  <c r="W3" i="16"/>
  <c r="B3" i="12" s="1"/>
  <c r="B5" i="12" l="1"/>
  <c r="B14" i="12" s="1"/>
  <c r="B16" i="12" s="1"/>
</calcChain>
</file>

<file path=xl/sharedStrings.xml><?xml version="1.0" encoding="utf-8"?>
<sst xmlns="http://schemas.openxmlformats.org/spreadsheetml/2006/main" count="127" uniqueCount="81">
  <si>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</si>
  <si>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</si>
  <si>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</si>
  <si>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</si>
  <si>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</si>
  <si>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</si>
  <si>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</si>
  <si>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</si>
  <si>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</si>
  <si>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</si>
  <si>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</si>
  <si>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</si>
  <si>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</si>
  <si>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</si>
  <si>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</si>
  <si>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</si>
  <si>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</si>
  <si>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</si>
  <si>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</si>
  <si>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</si>
  <si>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</si>
  <si>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</si>
  <si>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</si>
  <si>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</si>
  <si>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>Skovrejsning</t>
  </si>
  <si>
    <t>Kompensationer til lodsejere 25M zone</t>
  </si>
  <si>
    <t>SMS-service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</si>
  <si>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</si>
  <si>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</si>
  <si>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</si>
  <si>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</si>
  <si>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</si>
  <si>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</si>
  <si>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</si>
  <si>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</si>
  <si>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</si>
  <si>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</si>
  <si>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</si>
  <si>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</si>
  <si>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</si>
  <si>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</si>
  <si>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</si>
  <si>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</si>
  <si>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</si>
  <si>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</si>
  <si>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</si>
  <si>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</si>
  <si>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</si>
  <si>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</si>
  <si>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</si>
  <si>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</si>
  <si>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</si>
  <si>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</si>
  <si>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</si>
  <si>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Online vandkvalitetsovervågning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</si>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</sst>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0" fillId="0" borderId="0" xfId="0" applyNumberFormat="1"/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4570054.5540243005</v>
      </c>
      <c r="C2" t="s">
        <v>11</v>
      </c>
    </row>
    <row r="3" spans="1:3" s="2" customFormat="1" x14ac:dyDescent="0.25">
      <c r="A3" s="5" t="s">
        <v>8</v>
      </c>
      <c r="B3" s="37">
        <f>'Miljø- og servicemål'!W3</f>
        <v>420884.88054326439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71331.404504000006</v>
      </c>
      <c r="C4" t="s">
        <v>11</v>
      </c>
    </row>
    <row r="5" spans="1:3" s="26" customFormat="1" x14ac:dyDescent="0.25">
      <c r="A5" s="3" t="s">
        <v>12</v>
      </c>
      <c r="B5" s="48">
        <f>SUM(B2:B4)</f>
        <v>5062270.8390715653</v>
      </c>
      <c r="C5" s="63" t="s">
        <v>11</v>
      </c>
    </row>
    <row r="6" spans="1:3" x14ac:dyDescent="0.25">
      <c r="A6" s="47" t="s">
        <v>0</v>
      </c>
      <c r="B6" s="39">
        <f>Investeringer!E3</f>
        <v>4516610.9240048537</v>
      </c>
      <c r="C6" s="23" t="s">
        <v>11</v>
      </c>
    </row>
    <row r="7" spans="1:3" x14ac:dyDescent="0.25">
      <c r="A7" s="4" t="s">
        <v>1</v>
      </c>
      <c r="B7" s="36">
        <f>Investeringer!F3</f>
        <v>1096254.4740077483</v>
      </c>
      <c r="C7" t="s">
        <v>11</v>
      </c>
    </row>
    <row r="8" spans="1:3" x14ac:dyDescent="0.25">
      <c r="A8" s="4" t="s">
        <v>2</v>
      </c>
      <c r="B8" s="36">
        <f>Investeringer!G3</f>
        <v>195164.5001003815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82778.000000000015</v>
      </c>
      <c r="C9" t="s">
        <v>11</v>
      </c>
    </row>
    <row r="10" spans="1:3" s="22" customFormat="1" x14ac:dyDescent="0.25">
      <c r="A10" s="3" t="s">
        <v>52</v>
      </c>
      <c r="B10" s="48">
        <f>SUM(B6:B9)</f>
        <v>5890807.8981129834</v>
      </c>
      <c r="C10" s="63" t="s">
        <v>11</v>
      </c>
    </row>
    <row r="11" spans="1:3" s="22" customFormat="1" x14ac:dyDescent="0.25">
      <c r="A11" s="4" t="s">
        <v>10</v>
      </c>
      <c r="B11" s="36">
        <f>'Ikke-påvirkelige omkostninger'!M2</f>
        <v>5244238</v>
      </c>
      <c r="C11" t="s">
        <v>11</v>
      </c>
    </row>
    <row r="12" spans="1:3" s="22" customFormat="1" x14ac:dyDescent="0.25">
      <c r="A12" s="3" t="s">
        <v>74</v>
      </c>
      <c r="B12" s="48">
        <f>SUM(B11:B11)</f>
        <v>5244238</v>
      </c>
      <c r="C12" s="63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64</v>
      </c>
      <c r="B14" s="38">
        <f>SUM(B5,B10,B12)</f>
        <v>16197316.737184549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57</v>
      </c>
      <c r="B16" s="38">
        <f>B14*Pristalsregulering!C8*Pristalsregulering!C9</f>
        <v>16340691.173639752</v>
      </c>
      <c r="C16" s="27" t="s">
        <v>3</v>
      </c>
    </row>
    <row r="17" spans="2:2" ht="15.75" hidden="1" thickTop="1" x14ac:dyDescent="0.25">
      <c r="B17" s="62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1" customFormat="1" ht="60.75" thickBot="1" x14ac:dyDescent="0.3">
      <c r="A1" s="59" t="s">
        <v>13</v>
      </c>
      <c r="B1" s="60" t="s">
        <v>14</v>
      </c>
      <c r="C1" s="60" t="s">
        <v>65</v>
      </c>
      <c r="D1" s="60" t="s">
        <v>66</v>
      </c>
      <c r="E1" s="60" t="s">
        <v>58</v>
      </c>
      <c r="F1" s="52" t="s">
        <v>67</v>
      </c>
      <c r="G1" s="52" t="s">
        <v>75</v>
      </c>
      <c r="H1" s="52" t="s">
        <v>68</v>
      </c>
      <c r="I1" s="52" t="s">
        <v>53</v>
      </c>
      <c r="J1" s="11" t="s">
        <v>69</v>
      </c>
      <c r="K1" s="11" t="s">
        <v>70</v>
      </c>
    </row>
    <row r="2" spans="1:11" s="23" customFormat="1" ht="15.75" thickTop="1" x14ac:dyDescent="0.25">
      <c r="A2" s="28">
        <v>2015</v>
      </c>
      <c r="B2" s="49">
        <v>4882670</v>
      </c>
      <c r="C2" s="49">
        <v>198444</v>
      </c>
      <c r="D2" s="49">
        <f>B2+C2</f>
        <v>5081114</v>
      </c>
      <c r="E2" s="50">
        <f>D2</f>
        <v>5081114</v>
      </c>
      <c r="F2" s="49">
        <v>4570054.5540243005</v>
      </c>
      <c r="G2" s="49">
        <v>0</v>
      </c>
      <c r="H2" s="49">
        <f>IF(ISNUMBER(F2),F2-G2,"")</f>
        <v>4570054.5540243005</v>
      </c>
      <c r="I2" s="49">
        <f>AVERAGEIF(E2:E4,"&lt;&gt;0")</f>
        <v>5057383.6221306659</v>
      </c>
      <c r="J2" s="49">
        <v>3705738.3421300706</v>
      </c>
      <c r="K2" s="75">
        <f t="shared" ref="K2" si="0">IF(OR(H2&gt;I2,H2=""),IF(OR(I2&gt;J2,J2=""),I2,J2),H2)</f>
        <v>4570054.5540243005</v>
      </c>
    </row>
    <row r="3" spans="1:11" s="23" customFormat="1" x14ac:dyDescent="0.25">
      <c r="A3" s="28">
        <v>2014</v>
      </c>
      <c r="B3" s="49">
        <v>4782100.51</v>
      </c>
      <c r="C3" s="49"/>
      <c r="D3" s="49">
        <f t="shared" ref="D3:D4" si="1">B3+C3</f>
        <v>4782100.51</v>
      </c>
      <c r="E3" s="50">
        <f>D3*Pristalsregulering!C7</f>
        <v>4785926.1904079998</v>
      </c>
      <c r="F3" s="49"/>
      <c r="G3" s="49"/>
      <c r="H3" s="49"/>
      <c r="I3" s="49"/>
      <c r="J3" s="49"/>
      <c r="K3" s="36"/>
    </row>
    <row r="4" spans="1:11" x14ac:dyDescent="0.25">
      <c r="A4" s="28">
        <v>2013</v>
      </c>
      <c r="B4" s="49">
        <v>5222532</v>
      </c>
      <c r="C4" s="49"/>
      <c r="D4" s="49">
        <f t="shared" si="1"/>
        <v>5222532</v>
      </c>
      <c r="E4" s="50">
        <f>D4*Pristalsregulering!$C$6*Pristalsregulering!$C$7</f>
        <v>5305110.6759839989</v>
      </c>
      <c r="F4" s="49"/>
      <c r="G4" s="49"/>
      <c r="H4" s="49"/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R9"/>
  <sheetViews>
    <sheetView workbookViewId="0"/>
  </sheetViews>
  <sheetFormatPr defaultColWidth="0" defaultRowHeight="15" zeroHeight="1" x14ac:dyDescent="0.25"/>
  <cols>
    <col min="1" max="1" width="12.28515625" customWidth="1"/>
    <col min="2" max="7" width="30.7109375" customWidth="1"/>
    <col min="8" max="8" width="30.7109375" style="22" customWidth="1"/>
    <col min="9" max="9" width="30.7109375" style="55" customWidth="1"/>
    <col min="10" max="14" width="30.7109375" customWidth="1"/>
    <col min="15" max="15" width="30.7109375" style="22" customWidth="1"/>
    <col min="16" max="16" width="30.7109375" style="55" customWidth="1"/>
    <col min="17" max="21" width="30.7109375" customWidth="1"/>
    <col min="22" max="22" width="30.7109375" style="22" customWidth="1"/>
    <col min="23" max="23" width="30.7109375" style="55" customWidth="1"/>
    <col min="24" max="24" width="9.140625" hidden="1" customWidth="1"/>
    <col min="25" max="42" width="0" hidden="1" customWidth="1"/>
    <col min="43" max="43" width="9.140625" hidden="1" customWidth="1"/>
    <col min="44" max="86" width="0" hidden="1" customWidth="1"/>
    <col min="87" max="87" width="9.140625" hidden="1" customWidth="1"/>
    <col min="88" max="105" width="0" hidden="1" customWidth="1"/>
    <col min="106" max="106" width="9.140625" hidden="1" customWidth="1"/>
    <col min="107" max="110" width="0" hidden="1" customWidth="1"/>
    <col min="111" max="112" width="9.140625" hidden="1" customWidth="1"/>
    <col min="113" max="122" width="0" hidden="1" customWidth="1"/>
    <col min="123" max="123" width="9.140625" hidden="1" customWidth="1"/>
    <col min="124" max="127" width="0" hidden="1" customWidth="1"/>
    <col min="128" max="131" width="9.140625" hidden="1" customWidth="1"/>
    <col min="132" max="141" width="0" hidden="1" customWidth="1"/>
    <col min="142" max="142" width="9.140625" hidden="1" customWidth="1"/>
    <col min="143" max="146" width="0" hidden="1" customWidth="1"/>
    <col min="147" max="150" width="9.140625" hidden="1" customWidth="1"/>
    <col min="151" max="168" width="0" hidden="1" customWidth="1"/>
    <col min="169" max="169" width="9.140625" hidden="1" customWidth="1"/>
    <col min="170" max="173" width="0" hidden="1" customWidth="1"/>
    <col min="174" max="175" width="9.140625" hidden="1" customWidth="1"/>
    <col min="176" max="185" width="0" hidden="1" customWidth="1"/>
    <col min="186" max="186" width="9.140625" hidden="1" customWidth="1"/>
    <col min="187" max="190" width="0" hidden="1" customWidth="1"/>
    <col min="191" max="194" width="9.140625" hidden="1" customWidth="1"/>
    <col min="195" max="204" width="0" hidden="1" customWidth="1"/>
    <col min="205" max="205" width="9.140625" hidden="1" customWidth="1"/>
    <col min="206" max="209" width="0" hidden="1" customWidth="1"/>
    <col min="210" max="212" width="9.140625" hidden="1" customWidth="1"/>
    <col min="213" max="214" width="0" hidden="1" customWidth="1"/>
    <col min="215" max="218" width="9.140625" hidden="1" customWidth="1"/>
    <col min="219" max="221" width="0" hidden="1" customWidth="1"/>
    <col min="222" max="222" width="9.140625" hidden="1" customWidth="1"/>
    <col min="223" max="226" width="0" hidden="1" customWidth="1"/>
    <col min="227" max="229" width="9.140625" hidden="1" customWidth="1"/>
    <col min="230" max="231" width="0" hidden="1" customWidth="1"/>
    <col min="232" max="237" width="9.140625" hidden="1" customWidth="1"/>
    <col min="238" max="240" width="0" hidden="1" customWidth="1"/>
    <col min="241" max="241" width="9.140625" hidden="1" customWidth="1"/>
    <col min="242" max="245" width="0" hidden="1" customWidth="1"/>
    <col min="246" max="248" width="9.140625" hidden="1" customWidth="1"/>
    <col min="249" max="250" width="0" hidden="1" customWidth="1"/>
    <col min="251" max="257" width="9.140625" hidden="1" customWidth="1"/>
    <col min="258" max="267" width="0" hidden="1" customWidth="1"/>
    <col min="268" max="268" width="9.140625" hidden="1" customWidth="1"/>
    <col min="269" max="272" width="0" hidden="1" customWidth="1"/>
    <col min="273" max="275" width="9.140625" hidden="1" customWidth="1"/>
    <col min="276" max="277" width="0" hidden="1" customWidth="1"/>
    <col min="278" max="281" width="9.140625" hidden="1" customWidth="1"/>
    <col min="282" max="284" width="0" hidden="1" customWidth="1"/>
    <col min="285" max="285" width="9.140625" hidden="1" customWidth="1"/>
    <col min="286" max="289" width="0" hidden="1" customWidth="1"/>
    <col min="290" max="292" width="9.140625" hidden="1" customWidth="1"/>
    <col min="293" max="294" width="0" hidden="1" customWidth="1"/>
    <col min="295" max="300" width="9.140625" hidden="1" customWidth="1"/>
    <col min="301" max="303" width="0" hidden="1" customWidth="1"/>
    <col min="304" max="304" width="9.140625" hidden="1" customWidth="1"/>
    <col min="305" max="308" width="0" hidden="1" customWidth="1"/>
    <col min="309" max="311" width="9.140625" hidden="1" customWidth="1"/>
    <col min="312" max="313" width="0" hidden="1" customWidth="1"/>
    <col min="314" max="324" width="9.140625" hidden="1" customWidth="1"/>
    <col min="325" max="325" width="0" hidden="1" customWidth="1"/>
    <col min="326" max="328" width="9.140625" hidden="1" customWidth="1"/>
    <col min="329" max="330" width="0" hidden="1" customWidth="1"/>
    <col min="331" max="16384" width="9.140625" hidden="1"/>
  </cols>
  <sheetData>
    <row r="1" spans="1:23" s="27" customFormat="1" ht="15.75" thickBot="1" x14ac:dyDescent="0.3">
      <c r="A1" s="9"/>
      <c r="B1" s="33" t="s">
        <v>77</v>
      </c>
      <c r="C1" s="33"/>
      <c r="D1" s="33"/>
      <c r="E1" s="33"/>
      <c r="F1" s="33"/>
      <c r="G1" s="33"/>
      <c r="H1" s="33"/>
      <c r="I1" s="76" t="s">
        <v>78</v>
      </c>
      <c r="J1" s="10"/>
      <c r="K1" s="10"/>
      <c r="L1" s="10"/>
      <c r="M1" s="10"/>
      <c r="N1" s="10"/>
      <c r="O1" s="10"/>
      <c r="P1" s="76" t="s">
        <v>79</v>
      </c>
      <c r="Q1" s="33"/>
      <c r="R1" s="10"/>
      <c r="S1" s="10"/>
      <c r="T1" s="10"/>
      <c r="U1" s="10"/>
      <c r="V1" s="10"/>
      <c r="W1" s="64"/>
    </row>
    <row r="2" spans="1:23" ht="30.75" thickTop="1" x14ac:dyDescent="0.25">
      <c r="A2" s="17" t="s">
        <v>13</v>
      </c>
      <c r="B2" s="34" t="s">
        <v>61</v>
      </c>
      <c r="C2" s="35" t="s">
        <v>23</v>
      </c>
      <c r="D2" s="35" t="s">
        <v>24</v>
      </c>
      <c r="E2" s="35" t="s">
        <v>25</v>
      </c>
      <c r="F2" s="35" t="s">
        <v>26</v>
      </c>
      <c r="G2" s="35" t="s">
        <v>27</v>
      </c>
      <c r="H2" s="35" t="s">
        <v>54</v>
      </c>
      <c r="I2" s="56" t="s">
        <v>22</v>
      </c>
      <c r="J2" s="35" t="s">
        <v>23</v>
      </c>
      <c r="K2" s="35" t="s">
        <v>24</v>
      </c>
      <c r="L2" s="35" t="s">
        <v>25</v>
      </c>
      <c r="M2" s="35" t="s">
        <v>26</v>
      </c>
      <c r="N2" s="35" t="s">
        <v>27</v>
      </c>
      <c r="O2" s="35" t="s">
        <v>54</v>
      </c>
      <c r="P2" s="57" t="s">
        <v>22</v>
      </c>
      <c r="Q2" s="35" t="s">
        <v>23</v>
      </c>
      <c r="R2" s="35" t="s">
        <v>24</v>
      </c>
      <c r="S2" s="35" t="s">
        <v>25</v>
      </c>
      <c r="T2" s="35" t="s">
        <v>26</v>
      </c>
      <c r="U2" s="35" t="s">
        <v>27</v>
      </c>
      <c r="V2" s="35" t="s">
        <v>54</v>
      </c>
      <c r="W2" s="53" t="s">
        <v>28</v>
      </c>
    </row>
    <row r="3" spans="1:23" s="22" customFormat="1" x14ac:dyDescent="0.25">
      <c r="A3" s="28">
        <v>2016</v>
      </c>
      <c r="B3" s="73">
        <v>0</v>
      </c>
      <c r="C3" s="74">
        <v>0</v>
      </c>
      <c r="D3" s="74">
        <v>123897</v>
      </c>
      <c r="E3" s="74">
        <v>0</v>
      </c>
      <c r="F3" s="74">
        <v>0</v>
      </c>
      <c r="G3" s="74">
        <v>168627</v>
      </c>
      <c r="H3" s="74">
        <v>13093</v>
      </c>
      <c r="I3" s="45">
        <f>B3/Pristalsregulering!$C$8</f>
        <v>0</v>
      </c>
      <c r="J3" s="36">
        <f>C3/Pristalsregulering!$C$8</f>
        <v>0</v>
      </c>
      <c r="K3" s="36">
        <f>D3/Pristalsregulering!$C$8</f>
        <v>124369.60449708893</v>
      </c>
      <c r="L3" s="36">
        <f>E3/Pristalsregulering!$C$8</f>
        <v>0</v>
      </c>
      <c r="M3" s="36">
        <f>F3/Pristalsregulering!$C$8</f>
        <v>0</v>
      </c>
      <c r="N3" s="36">
        <f>G3/Pristalsregulering!$C$8</f>
        <v>169270.22686207588</v>
      </c>
      <c r="O3" s="36">
        <f>H3/Pristalsregulering!$C$8</f>
        <v>13142.943184099579</v>
      </c>
      <c r="P3" s="45">
        <f>IF(I4=0,0,AVERAGEIF(I4:I6,"&lt;&gt;0"))+I3</f>
        <v>95879.957999999999</v>
      </c>
      <c r="Q3" s="39">
        <f t="shared" ref="Q3" si="0">IF(J4=0,0,AVERAGEIF(J4:J6,"&lt;&gt;0"))+J3</f>
        <v>1335</v>
      </c>
      <c r="R3" s="39">
        <f>IF(K4=0,0,AVERAGEIF(K4:K6,"&lt;&gt;0"))+K3</f>
        <v>124369.60449708893</v>
      </c>
      <c r="S3" s="39">
        <f>IF(L4=0,0,AVERAGEIF(L4:L6,"&lt;&gt;0"))+L3</f>
        <v>1335</v>
      </c>
      <c r="T3" s="39">
        <f>IF(M4=0,0,AVERAGEIF(M4:M6,"&lt;&gt;0"))+M3</f>
        <v>15552.147999999999</v>
      </c>
      <c r="U3" s="39">
        <f>IF(N4=0,0,AVERAGEIF(N4:N6,"&lt;&gt;0"))+N3</f>
        <v>169270.22686207588</v>
      </c>
      <c r="V3" s="39">
        <f>IF(O4=0,0,AVERAGEIF(O4:O6,"&lt;&gt;0"))+O3</f>
        <v>13142.943184099579</v>
      </c>
      <c r="W3" s="58">
        <f>SUM(P3:V3)</f>
        <v>420884.88054326439</v>
      </c>
    </row>
    <row r="4" spans="1:23" x14ac:dyDescent="0.25">
      <c r="A4" s="28">
        <v>2015</v>
      </c>
      <c r="B4" s="36">
        <v>59259</v>
      </c>
      <c r="C4" s="36">
        <v>1335</v>
      </c>
      <c r="D4" s="36"/>
      <c r="E4" s="36">
        <v>1335</v>
      </c>
      <c r="F4" s="36">
        <v>21977</v>
      </c>
      <c r="G4" s="36"/>
      <c r="H4" s="36"/>
      <c r="I4" s="45">
        <f>B4</f>
        <v>59259</v>
      </c>
      <c r="J4" s="36">
        <f t="shared" ref="J4" si="1">C4</f>
        <v>1335</v>
      </c>
      <c r="K4" s="36">
        <f>D4</f>
        <v>0</v>
      </c>
      <c r="L4" s="36">
        <f>E4</f>
        <v>1335</v>
      </c>
      <c r="M4" s="36">
        <f>F4</f>
        <v>21977</v>
      </c>
      <c r="N4" s="36">
        <f>G4</f>
        <v>0</v>
      </c>
      <c r="O4" s="36">
        <f>H4</f>
        <v>0</v>
      </c>
      <c r="P4" s="45"/>
      <c r="Q4" s="39"/>
      <c r="R4" s="39"/>
      <c r="S4" s="39"/>
      <c r="T4" s="39"/>
      <c r="U4" s="39"/>
      <c r="V4" s="39"/>
      <c r="W4" s="54"/>
    </row>
    <row r="5" spans="1:23" x14ac:dyDescent="0.25">
      <c r="A5" s="28">
        <v>2014</v>
      </c>
      <c r="B5" s="36">
        <v>132395</v>
      </c>
      <c r="C5" s="36"/>
      <c r="D5" s="36">
        <v>290561</v>
      </c>
      <c r="E5" s="36"/>
      <c r="F5" s="36">
        <v>9120</v>
      </c>
      <c r="G5" s="36"/>
      <c r="H5" s="36"/>
      <c r="I5" s="45">
        <f>B5*Pristalsregulering!$C$7</f>
        <v>132500.916</v>
      </c>
      <c r="J5" s="36">
        <f>C5*Pristalsregulering!$C$7</f>
        <v>0</v>
      </c>
      <c r="K5" s="36">
        <f>D5*Pristalsregulering!$C$7</f>
        <v>290793.44879999995</v>
      </c>
      <c r="L5" s="36">
        <f>E5*Pristalsregulering!$C$7</f>
        <v>0</v>
      </c>
      <c r="M5" s="36">
        <f>F5*Pristalsregulering!$C$7</f>
        <v>9127.2959999999985</v>
      </c>
      <c r="N5" s="36">
        <f>G5*Pristalsregulering!$C$7</f>
        <v>0</v>
      </c>
      <c r="O5" s="36">
        <f>H5*Pristalsregulering!$C$7</f>
        <v>0</v>
      </c>
      <c r="P5" s="45"/>
      <c r="Q5" s="36"/>
      <c r="R5" s="36"/>
      <c r="S5" s="36"/>
      <c r="T5" s="36"/>
      <c r="U5" s="36"/>
      <c r="V5" s="39"/>
      <c r="W5" s="45"/>
    </row>
    <row r="6" spans="1:23" x14ac:dyDescent="0.25">
      <c r="A6" s="28">
        <v>2013</v>
      </c>
      <c r="B6" s="36"/>
      <c r="C6" s="36"/>
      <c r="D6" s="36"/>
      <c r="E6" s="36"/>
      <c r="F6" s="36"/>
      <c r="G6" s="36"/>
      <c r="H6" s="36"/>
      <c r="I6" s="45">
        <f>B6*Pristalsregulering!$C$7*Pristalsregulering!$C$6</f>
        <v>0</v>
      </c>
      <c r="J6" s="36">
        <f>C6*Pristalsregulering!$C$7*Pristalsregulering!$C$6</f>
        <v>0</v>
      </c>
      <c r="K6" s="36">
        <f>D6*Pristalsregulering!$C$7*Pristalsregulering!$C$6</f>
        <v>0</v>
      </c>
      <c r="L6" s="36">
        <f>E6*Pristalsregulering!$C$7*Pristalsregulering!$C$6</f>
        <v>0</v>
      </c>
      <c r="M6" s="36">
        <f>F6*Pristalsregulering!$C$7*Pristalsregulering!$C$6</f>
        <v>0</v>
      </c>
      <c r="N6" s="36">
        <f>G6*Pristalsregulering!$C$7*Pristalsregulering!$C$6</f>
        <v>0</v>
      </c>
      <c r="O6" s="36">
        <f>H6*Pristalsregulering!$C$7*Pristalsregulering!$C$6</f>
        <v>0</v>
      </c>
      <c r="P6" s="45"/>
      <c r="Q6" s="36"/>
      <c r="R6" s="36"/>
      <c r="S6" s="36"/>
      <c r="T6" s="36"/>
      <c r="U6" s="36"/>
      <c r="V6" s="39"/>
      <c r="W6" s="45"/>
    </row>
    <row r="7" spans="1:23" hidden="1" x14ac:dyDescent="0.25"/>
    <row r="8" spans="1:23" hidden="1" x14ac:dyDescent="0.25"/>
    <row r="9" spans="1:23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29</v>
      </c>
      <c r="C1" s="78"/>
      <c r="D1" s="78"/>
      <c r="E1" s="79" t="s">
        <v>59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30</v>
      </c>
      <c r="C2" s="20" t="s">
        <v>31</v>
      </c>
      <c r="D2" s="20" t="s">
        <v>32</v>
      </c>
      <c r="E2" s="16" t="s">
        <v>30</v>
      </c>
      <c r="F2" s="20" t="s">
        <v>31</v>
      </c>
      <c r="G2" s="46" t="s">
        <v>32</v>
      </c>
      <c r="H2" s="6" t="s">
        <v>34</v>
      </c>
    </row>
    <row r="3" spans="1:8" x14ac:dyDescent="0.25">
      <c r="A3" s="31">
        <v>2015</v>
      </c>
      <c r="B3" s="41">
        <v>10200</v>
      </c>
      <c r="C3" s="42">
        <v>66405</v>
      </c>
      <c r="D3" s="42">
        <v>0</v>
      </c>
      <c r="E3" s="41">
        <f>B3</f>
        <v>10200</v>
      </c>
      <c r="F3" s="42">
        <f t="shared" ref="F3:G3" si="0">C3</f>
        <v>66405</v>
      </c>
      <c r="G3" s="43">
        <f t="shared" si="0"/>
        <v>0</v>
      </c>
      <c r="H3" s="44">
        <f>IF(E3=0,0,AVERAGEIF(E3:E5,"&lt;&gt;0"))+IF(F3=0,0,AVERAGEIF(F3:F5,"&lt;&gt;0"))+IF(G3=0,0,AVERAGEIF(G3:G5,"&lt;&gt;0"))</f>
        <v>71331.404504000006</v>
      </c>
    </row>
    <row r="4" spans="1:8" x14ac:dyDescent="0.25">
      <c r="A4" s="31">
        <v>2014</v>
      </c>
      <c r="B4" s="41">
        <v>9800</v>
      </c>
      <c r="C4" s="42">
        <v>61646.490000000005</v>
      </c>
      <c r="D4" s="42">
        <v>0</v>
      </c>
      <c r="E4" s="41">
        <f>B4*Pristalsregulering!$C$7</f>
        <v>9807.8399999999983</v>
      </c>
      <c r="F4" s="42">
        <f>C4*Pristalsregulering!$C$7</f>
        <v>61695.807192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13950</v>
      </c>
      <c r="C5" s="42">
        <v>50910</v>
      </c>
      <c r="D5" s="42">
        <v>0</v>
      </c>
      <c r="E5" s="41">
        <f>B5*Pristalsregulering!$C$7*Pristalsregulering!$C$6</f>
        <v>14170.577399999996</v>
      </c>
      <c r="F5" s="42">
        <f>C5*Pristalsregulering!$C$7*Pristalsregulering!$C$6</f>
        <v>51714.988919999989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2"/>
      <c r="B1" s="80" t="s">
        <v>72</v>
      </c>
      <c r="C1" s="80"/>
      <c r="D1" s="81"/>
      <c r="E1" s="82" t="s">
        <v>73</v>
      </c>
      <c r="F1" s="82"/>
      <c r="G1" s="82"/>
    </row>
    <row r="2" spans="1:7" s="22" customFormat="1" ht="15.75" thickTop="1" x14ac:dyDescent="0.25">
      <c r="A2" s="70" t="s">
        <v>13</v>
      </c>
      <c r="B2" s="23" t="s">
        <v>71</v>
      </c>
      <c r="C2" s="23" t="s">
        <v>1</v>
      </c>
      <c r="D2" s="28" t="s">
        <v>80</v>
      </c>
      <c r="E2" s="22" t="s">
        <v>0</v>
      </c>
      <c r="F2" s="22" t="s">
        <v>1</v>
      </c>
      <c r="G2" s="22" t="s">
        <v>80</v>
      </c>
    </row>
    <row r="3" spans="1:7" s="22" customFormat="1" x14ac:dyDescent="0.25">
      <c r="A3" s="71">
        <v>2015</v>
      </c>
      <c r="B3" s="39">
        <v>4148631.5950610125</v>
      </c>
      <c r="C3" s="39">
        <v>1092201.9116666662</v>
      </c>
      <c r="D3" s="40">
        <v>194422.87500000003</v>
      </c>
      <c r="E3" s="36">
        <f>B3*Pristalsregulering!C2*Pristalsregulering!C3*Pristalsregulering!C4*Pristalsregulering!C5*Pristalsregulering!C6*Pristalsregulering!C7</f>
        <v>4516610.9240048537</v>
      </c>
      <c r="F3" s="36">
        <v>1096254.4740077483</v>
      </c>
      <c r="G3" s="36">
        <f xml:space="preserve"> D3/Pristalsregulering!$C$8</f>
        <v>195164.5001003815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9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45</v>
      </c>
      <c r="C1" s="78"/>
      <c r="D1" s="78"/>
      <c r="E1" s="78"/>
      <c r="F1" s="79" t="s">
        <v>60</v>
      </c>
      <c r="G1" s="80"/>
      <c r="H1" s="80"/>
      <c r="I1" s="80"/>
      <c r="J1" s="83" t="s">
        <v>34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46</v>
      </c>
      <c r="C2" s="7" t="s">
        <v>47</v>
      </c>
      <c r="D2" s="7" t="s">
        <v>48</v>
      </c>
      <c r="E2" s="51" t="s">
        <v>49</v>
      </c>
      <c r="F2" s="7" t="s">
        <v>46</v>
      </c>
      <c r="G2" s="7" t="s">
        <v>47</v>
      </c>
      <c r="H2" s="7" t="s">
        <v>48</v>
      </c>
      <c r="I2" s="51" t="s">
        <v>49</v>
      </c>
      <c r="J2" s="20" t="s">
        <v>50</v>
      </c>
      <c r="K2" s="20" t="s">
        <v>47</v>
      </c>
      <c r="L2" s="15" t="s">
        <v>76</v>
      </c>
      <c r="M2" s="6" t="s">
        <v>33</v>
      </c>
      <c r="N2" s="32"/>
    </row>
    <row r="3" spans="1:14" x14ac:dyDescent="0.25">
      <c r="A3" s="28">
        <v>2015</v>
      </c>
      <c r="B3" s="45">
        <v>161308</v>
      </c>
      <c r="C3" s="39">
        <v>12342</v>
      </c>
      <c r="D3" s="39">
        <v>50000</v>
      </c>
      <c r="E3" s="40">
        <v>0</v>
      </c>
      <c r="F3" s="39">
        <f>B3</f>
        <v>161308</v>
      </c>
      <c r="G3" s="39">
        <f>C3</f>
        <v>12342</v>
      </c>
      <c r="H3" s="39">
        <f>D3</f>
        <v>50000</v>
      </c>
      <c r="I3" s="40">
        <f>E3</f>
        <v>0</v>
      </c>
      <c r="J3" s="42">
        <f>AVERAGE(F3:F5)</f>
        <v>53769.333333333336</v>
      </c>
      <c r="K3" s="42">
        <f>G3</f>
        <v>12342</v>
      </c>
      <c r="L3" s="43">
        <f>AVERAGE(H3:H5)+AVERAGE(I3:I5)</f>
        <v>16666.666666666668</v>
      </c>
      <c r="M3" s="44">
        <f>SUM(J3:L3)</f>
        <v>82778.000000000015</v>
      </c>
      <c r="N3" s="23"/>
    </row>
    <row r="4" spans="1:14" x14ac:dyDescent="0.25">
      <c r="A4" s="28">
        <v>2014</v>
      </c>
      <c r="B4" s="45">
        <v>0</v>
      </c>
      <c r="C4" s="39">
        <v>19537</v>
      </c>
      <c r="D4" s="39">
        <v>0</v>
      </c>
      <c r="E4" s="40">
        <v>0</v>
      </c>
      <c r="F4" s="39">
        <f>IF(B4="","",B4*Pristalsregulering!$C$7)</f>
        <v>0</v>
      </c>
      <c r="G4" s="39">
        <f>IF(C4="","",C4*Pristalsregulering!$C$7)</f>
        <v>19552.629599999997</v>
      </c>
      <c r="H4" s="39">
        <f>IF(D4="","",D4*Pristalsregulering!$C$7)</f>
        <v>0</v>
      </c>
      <c r="I4" s="40">
        <f>IF(E4="","",E4*Pristalsregulering!$C$7)</f>
        <v>0</v>
      </c>
      <c r="J4" s="39"/>
      <c r="L4" s="40"/>
      <c r="M4" s="36"/>
    </row>
    <row r="5" spans="1:14" x14ac:dyDescent="0.25">
      <c r="A5" s="28">
        <v>2013</v>
      </c>
      <c r="B5" s="45">
        <v>0</v>
      </c>
      <c r="C5" s="39">
        <v>0</v>
      </c>
      <c r="D5" s="39">
        <v>0</v>
      </c>
      <c r="E5" s="40">
        <v>0</v>
      </c>
      <c r="F5" s="39">
        <f>IF(B5="","",B5*Pristalsregulering!$C$7*Pristalsregulering!$C$6)</f>
        <v>0</v>
      </c>
      <c r="G5" s="39">
        <f>IF(C5="","",C5*Pristalsregulering!$C$7*Pristalsregulering!$C$6)</f>
        <v>0</v>
      </c>
      <c r="H5" s="39">
        <f>IF(D5="","",D5*Pristalsregulering!$C$7*Pristalsregulering!$C$6)</f>
        <v>0</v>
      </c>
      <c r="I5" s="40">
        <f>IF(E5="","",E5*Pristalsregulering!$C$7*Pristalsregulering!$C$6)</f>
        <v>0</v>
      </c>
      <c r="J5" s="36"/>
      <c r="L5" s="40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7" t="s">
        <v>35</v>
      </c>
      <c r="C1" s="67" t="s">
        <v>36</v>
      </c>
      <c r="D1" s="67" t="s">
        <v>37</v>
      </c>
      <c r="E1" s="67" t="s">
        <v>38</v>
      </c>
      <c r="F1" s="67" t="s">
        <v>39</v>
      </c>
      <c r="G1" s="67" t="s">
        <v>40</v>
      </c>
      <c r="H1" s="67" t="s">
        <v>41</v>
      </c>
      <c r="I1" s="67" t="s">
        <v>42</v>
      </c>
      <c r="J1" s="67" t="s">
        <v>43</v>
      </c>
      <c r="K1" s="67" t="s">
        <v>62</v>
      </c>
      <c r="L1" s="68" t="s">
        <v>44</v>
      </c>
      <c r="M1" s="14" t="s">
        <v>33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3365</v>
      </c>
      <c r="E2" s="42">
        <v>0</v>
      </c>
      <c r="F2" s="42">
        <v>123970</v>
      </c>
      <c r="G2" s="42">
        <v>5084380</v>
      </c>
      <c r="H2" s="42" t="s">
        <v>51</v>
      </c>
      <c r="I2" s="42">
        <v>0</v>
      </c>
      <c r="J2" s="42">
        <v>0</v>
      </c>
      <c r="K2" s="42"/>
      <c r="L2" s="43"/>
      <c r="M2" s="44">
        <f>SUM(B2:L2)</f>
        <v>5244238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51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51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5" t="s">
        <v>63</v>
      </c>
      <c r="B2" s="66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55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56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2017-09-13T12:25:34Z</dcterms:modified>
</cp:coreProperties>
</file>