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G20" i="19" l="1"/>
  <c r="G21" i="19" s="1"/>
  <c r="E11" i="2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2" i="7"/>
  <c r="E9" i="2" l="1"/>
  <c r="E19" i="2"/>
  <c r="E15" i="13"/>
  <c r="F11" i="11"/>
  <c r="F19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20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<sst xmlns="http://schemas.openxmlformats.org/spreadsheetml/2006/main" count="357" uniqueCount="183">
  <si>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</si>
  <si>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</si>
  <si>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</si>
  <si>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</si>
  <si>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</si>
  <si>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</si>
  <si>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</si>
  <si>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</si>
  <si>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</si>
  <si>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</si>
  <si>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</si>
  <si>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</si>
  <si>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</si>
  <si>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</si>
  <si>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</si>
  <si>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</si>
  <si>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</si>
  <si>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</si>
  <si>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</si>
  <si>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</si>
  <si>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</si>
  <si>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</si>
  <si>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</si>
  <si>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</si>
  <si>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</si>
  <si>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</si>
  <si>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</si>
  <si>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</si>
  <si>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</si>
  <si>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</si>
  <si>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</si>
  <si>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</si>
  <si>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</si>
  <si>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</si>
  <si>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</si>
  <si>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</si>
  <si>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</si>
  <si>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</si>
  <si>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</si>
  <si>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</si>
  <si>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</si>
  <si>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</si>
  <si>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</si>
  <si>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</si>
  <si>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</si>
  <si>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</si>
  <si>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</si>
  <si>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</si>
  <si>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</si>
  <si>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</si>
  <si>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</si>
  <si>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</si>
  <si>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</si>
  <si>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</si>
  <si>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</si>
  <si>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</si>
  <si>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</si>
  <si>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</si>
  <si>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</si>
  <si>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</si>
  <si>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</si>
  <si>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</si>
  <si>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</si>
  <si>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</si>
  <si>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</si>
  <si>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</si>
  <si>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</si>
  <si>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</si>
  <si>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</si>
  <si>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</si>
  <si>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</si>
  <si>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</si>
  <si>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</si>
  <si>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</si>
  <si>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</si>
  <si>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</si>
  <si>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</si>
  <si>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</si>
  <si>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</si>
  <si>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</si>
  <si>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</si>
  <si>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</si>
  <si>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</si>
  <si>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</si>
  <si>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</si>
  <si>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</si>
  <si>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</si>
  <si>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</si>
  <si>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</si>
  <si>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</si>
  <si>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</si>
  <si>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</si>
  <si>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</si>
  <si>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</si>
  <si>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</si>
  <si>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</si>
  <si>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</si>
  <si>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</si>
  <si>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</si>
  <si>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</si>
  <si>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</si>
  <si>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</si>
  <si>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</si>
  <si>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</si>
  <si>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</si>
  <si>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</si>
  <si>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</si>
  <si>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</si>
  <si>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</si>
  <si>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</si>
  <si>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</si>
  <si>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</si>
  <si>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</si>
  <si>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</si>
  <si>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</si>
  <si>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</si>
  <si>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</si>
  <si>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</si>
  <si>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</si>
  <si>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</si>
  <si>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</si>
  <si>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</si>
  <si>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</si>
  <si>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</si>
  <si>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</si>
  <si>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</si>
  <si>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</si>
  <si>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</si>
  <si>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</si>
  <si>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</si>
  <si>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</si>
  <si>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</si>
  <si>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</si>
  <si>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</si>
  <si>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</si>
  <si>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</si>
  <si>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</si>
  <si>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</si>
  <si>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</si>
  <si>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</si>
  <si>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</si>
  <si>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</si>
  <si>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</si>
  <si>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</si>
  <si>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</si>
  <si>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</si>
  <si>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Ø 500 mm &lt; Ledningsnet ≤ Ø 800 mm</t>
  </si>
  <si>
    <t>Ø 800 mm &lt; Ledningsnet ≤ Ø 1000 mm</t>
  </si>
  <si>
    <t>Stik</t>
  </si>
  <si>
    <t>Indløb med riste, Konstruktioner</t>
  </si>
  <si>
    <t>Solceller</t>
  </si>
  <si>
    <t>Indløb med riste, SRO</t>
  </si>
  <si>
    <t>Pumpestationer i brønde (&lt; 6,25 m2), Konstruktioner</t>
  </si>
  <si>
    <t>Pumpestationer i brønde (&lt; 6,25 m2), Mek/EL</t>
  </si>
  <si>
    <t>Ø 200 mm &lt; Ledningsnet ≤ Ø 500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</si>
  <si>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</si>
  <si>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</si>
  <si>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</si>
  <si>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</si>
  <si>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</si>
  <si>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</si>
  <si>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</si>
  <si>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</si>
  <si>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</si>
  <si>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Undersøgelsesudgifter i forbindelse med fusion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</si>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</sst>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 applyNumberFormat="0" applyBorder="0" applyAlignment="0"/>
  </cellStyleXfs>
  <cellXfs count="121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5">
    <cellStyle name="Komma" xfId="1" builtinId="3"/>
    <cellStyle name="Link" xfId="2" builtinId="8"/>
    <cellStyle name="Normal" xfId="0" builtinId="0"/>
    <cellStyle name="Normal 12" xfId="3"/>
    <cellStyle name="Normal 2" xfId="4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23" sqref="D23:G2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172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1798028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3758497</v>
      </c>
      <c r="H10" s="23" t="s">
        <v>4</v>
      </c>
      <c r="I10" s="2"/>
    </row>
    <row r="11" spans="1:9" x14ac:dyDescent="0.25">
      <c r="A11" s="2"/>
      <c r="B11" s="91" t="s">
        <v>173</v>
      </c>
      <c r="C11" s="92"/>
      <c r="D11" s="92"/>
      <c r="E11" s="92"/>
      <c r="F11" s="93"/>
      <c r="G11" s="21">
        <f>G9-G10</f>
        <v>-1960469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174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111493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110000</v>
      </c>
      <c r="H16" s="23" t="s">
        <v>4</v>
      </c>
      <c r="I16" s="2"/>
    </row>
    <row r="17" spans="1:9" x14ac:dyDescent="0.25">
      <c r="A17" s="2"/>
      <c r="B17" s="91" t="s">
        <v>174</v>
      </c>
      <c r="C17" s="92"/>
      <c r="D17" s="92"/>
      <c r="E17" s="92"/>
      <c r="F17" s="93"/>
      <c r="G17" s="21">
        <f>G15-G16</f>
        <v>1493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175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175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176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1022215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1045594</v>
      </c>
      <c r="H28" s="23" t="s">
        <v>4</v>
      </c>
      <c r="I28" s="2"/>
    </row>
    <row r="29" spans="1:9" ht="15" customHeight="1" x14ac:dyDescent="0.25">
      <c r="A29" s="2"/>
      <c r="B29" s="101" t="s">
        <v>176</v>
      </c>
      <c r="C29" s="102"/>
      <c r="D29" s="102"/>
      <c r="E29" s="102"/>
      <c r="F29" s="103"/>
      <c r="G29" s="21">
        <f>G27-G28</f>
        <v>-23379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2016'!F20</f>
        <v>631197.22666666668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455833.33333333337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175363.89333333331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71071351.98503159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33517996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2480912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10800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875000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36884708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194580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194580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-2650193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-24719148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-483409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-27852750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9226538</v>
      </c>
      <c r="F28" s="38" t="s">
        <v>4</v>
      </c>
      <c r="G28" s="1">
        <f>IF(E28&lt;0,0,-E28)</f>
        <v>-9226538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8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64996734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1969171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66965905</v>
      </c>
      <c r="F35" s="38" t="s">
        <v>4</v>
      </c>
      <c r="G35" s="18">
        <f>-E35</f>
        <v>-66965905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-5121091.0149684101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7" sqref="F1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119" t="s">
        <v>170</v>
      </c>
      <c r="C10" s="120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182</v>
      </c>
      <c r="C16" s="86"/>
      <c r="D16" s="86"/>
      <c r="E16" s="87"/>
      <c r="F16" s="117" t="s">
        <v>166</v>
      </c>
      <c r="G16" s="117"/>
      <c r="H16" s="2"/>
    </row>
    <row r="17" spans="1:8" x14ac:dyDescent="0.25">
      <c r="A17" s="2"/>
      <c r="B17" s="95" t="s">
        <v>178</v>
      </c>
      <c r="C17" s="83"/>
      <c r="D17" s="83"/>
      <c r="E17" s="84"/>
      <c r="F17" s="27">
        <v>754950</v>
      </c>
      <c r="G17" s="23" t="s">
        <v>4</v>
      </c>
      <c r="H17" s="2"/>
    </row>
    <row r="18" spans="1:8" x14ac:dyDescent="0.25">
      <c r="A18" s="2"/>
      <c r="B18" s="91" t="s">
        <v>167</v>
      </c>
      <c r="C18" s="92"/>
      <c r="D18" s="92"/>
      <c r="E18" s="93"/>
      <c r="F18" s="21">
        <f>SUM(F17:F17)</f>
        <v>754950</v>
      </c>
      <c r="G18" s="22" t="s">
        <v>4</v>
      </c>
      <c r="H18" s="2"/>
    </row>
    <row r="19" spans="1:8" x14ac:dyDescent="0.25">
      <c r="A19" s="2"/>
      <c r="B19" s="91" t="s">
        <v>168</v>
      </c>
      <c r="C19" s="92"/>
      <c r="D19" s="92"/>
      <c r="E19" s="93"/>
      <c r="F19" s="21">
        <f>F18*(1+'Fane 2.1. Økonomisk ramme 2018'!E18/100)</f>
        <v>768161.625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7" t="s">
        <v>47</v>
      </c>
      <c r="E9" s="117"/>
      <c r="F9" s="117" t="s">
        <v>127</v>
      </c>
      <c r="G9" s="117"/>
      <c r="H9" s="2"/>
    </row>
    <row r="10" spans="1:8" x14ac:dyDescent="0.25">
      <c r="A10" s="2"/>
      <c r="B10" s="35" t="s">
        <v>177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topLeftCell="A4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75221627.86863032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6259832.2323399195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omk.'!G21</f>
        <v>-3123356.2649190002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180</v>
      </c>
      <c r="C12" s="52"/>
      <c r="D12" s="53"/>
      <c r="E12" s="12">
        <f>'Fane 5. Individuelt eff.krav'!G10</f>
        <v>-1130787.0189807781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165</v>
      </c>
      <c r="C15" s="89"/>
      <c r="D15" s="90"/>
      <c r="E15" s="12">
        <f>'Fane 11. Tillæg'!F19</f>
        <v>768161.625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1255373.8086702847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1290400.5507575069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171</v>
      </c>
      <c r="C22" s="97"/>
      <c r="D22" s="98"/>
      <c r="E22" s="18">
        <f>SUM(E9,E11:E17,E19)-SUM(E20:E21)</f>
        <v>71700619.467643321</v>
      </c>
      <c r="F22" s="19" t="s">
        <v>4</v>
      </c>
      <c r="G22" s="18">
        <f>E22</f>
        <v>71700619.467643321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-1960469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1493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-23379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175363.89333333331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-1806991.1066666667</v>
      </c>
      <c r="F31" s="19" t="s">
        <v>4</v>
      </c>
      <c r="G31" s="18">
        <f>E31</f>
        <v>-1806991.1066666667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-5121091.0149684101</v>
      </c>
      <c r="F33" s="19" t="s">
        <v>4</v>
      </c>
      <c r="G33" s="18">
        <f>E33</f>
        <v>-5121091.0149684101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64772537.346008241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71700619.467643321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2018'!E10:E11))*(1+'Fane 2.1. Økonomisk ramme 2018'!E18/100)</f>
        <v>3191364.2968507856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1254760.840683758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1288414.407233424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171</v>
      </c>
      <c r="C14" s="97"/>
      <c r="D14" s="98"/>
      <c r="E14" s="18">
        <f>$E$9+$E$11-$E$12-$E$13</f>
        <v>71666965.901093662</v>
      </c>
      <c r="F14" s="19" t="s">
        <v>4</v>
      </c>
      <c r="G14" s="18">
        <f>E14</f>
        <v>71666965.901093662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71666965.901093662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28461884.302037872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40499911.334252521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6259832.2323399195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75221627.86863032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>
      <selection activeCell="G20" sqref="G20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155</v>
      </c>
      <c r="C10" s="106"/>
      <c r="D10" s="106"/>
      <c r="E10" s="49">
        <v>338206.91139999998</v>
      </c>
      <c r="F10" s="23" t="s">
        <v>4</v>
      </c>
      <c r="G10" s="27">
        <v>339497</v>
      </c>
      <c r="H10" s="23" t="s">
        <v>4</v>
      </c>
      <c r="I10" s="2"/>
    </row>
    <row r="11" spans="1:9" x14ac:dyDescent="0.25">
      <c r="A11" s="2"/>
      <c r="B11" s="105" t="s">
        <v>156</v>
      </c>
      <c r="C11" s="106"/>
      <c r="D11" s="106"/>
      <c r="E11" s="49">
        <v>18824.195199999998</v>
      </c>
      <c r="F11" s="23" t="s">
        <v>4</v>
      </c>
      <c r="G11" s="27">
        <v>19984</v>
      </c>
      <c r="H11" s="23" t="s">
        <v>4</v>
      </c>
      <c r="I11" s="2"/>
    </row>
    <row r="12" spans="1:9" x14ac:dyDescent="0.25">
      <c r="A12" s="2"/>
      <c r="B12" s="105" t="s">
        <v>157</v>
      </c>
      <c r="C12" s="106"/>
      <c r="D12" s="106"/>
      <c r="E12" s="49">
        <v>3183089.1222000001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158</v>
      </c>
      <c r="C13" s="106"/>
      <c r="D13" s="106"/>
      <c r="E13" s="49">
        <v>32399.4126</v>
      </c>
      <c r="F13" s="23" t="s">
        <v>4</v>
      </c>
      <c r="G13" s="27">
        <v>50592</v>
      </c>
      <c r="H13" s="23" t="s">
        <v>4</v>
      </c>
      <c r="I13" s="2"/>
    </row>
    <row r="14" spans="1:9" x14ac:dyDescent="0.25">
      <c r="A14" s="2"/>
      <c r="B14" s="105" t="s">
        <v>159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160</v>
      </c>
      <c r="C15" s="106"/>
      <c r="D15" s="106"/>
      <c r="E15" s="49">
        <v>1128860.9653999999</v>
      </c>
      <c r="F15" s="23" t="s">
        <v>4</v>
      </c>
      <c r="G15" s="27">
        <v>824141</v>
      </c>
      <c r="H15" s="23" t="s">
        <v>4</v>
      </c>
      <c r="I15" s="2"/>
    </row>
    <row r="16" spans="1:9" x14ac:dyDescent="0.25">
      <c r="A16" s="2"/>
      <c r="B16" s="105" t="s">
        <v>161</v>
      </c>
      <c r="C16" s="106"/>
      <c r="D16" s="106"/>
      <c r="E16" s="49">
        <v>438328</v>
      </c>
      <c r="F16" s="23" t="s">
        <v>4</v>
      </c>
      <c r="G16" s="27">
        <v>441314</v>
      </c>
      <c r="H16" s="23" t="s">
        <v>4</v>
      </c>
      <c r="I16" s="2"/>
    </row>
    <row r="17" spans="1:9" x14ac:dyDescent="0.25">
      <c r="A17" s="2"/>
      <c r="B17" s="105" t="s">
        <v>162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08" t="s">
        <v>164</v>
      </c>
      <c r="C18" s="109"/>
      <c r="D18" s="110"/>
      <c r="E18" s="49">
        <v>0</v>
      </c>
      <c r="F18" s="23" t="s">
        <v>4</v>
      </c>
      <c r="G18" s="27">
        <v>413949</v>
      </c>
      <c r="H18" s="23" t="s">
        <v>4</v>
      </c>
      <c r="I18" s="2"/>
    </row>
    <row r="19" spans="1:9" ht="26.25" customHeight="1" x14ac:dyDescent="0.25">
      <c r="A19" s="2"/>
      <c r="B19" s="107" t="s">
        <v>163</v>
      </c>
      <c r="C19" s="107"/>
      <c r="D19" s="107"/>
      <c r="E19" s="49">
        <v>1041621</v>
      </c>
      <c r="F19" s="23" t="s">
        <v>4</v>
      </c>
      <c r="G19" s="27">
        <v>1022215</v>
      </c>
      <c r="H19" s="23" t="s">
        <v>4</v>
      </c>
      <c r="I19" s="2"/>
    </row>
    <row r="20" spans="1:9" x14ac:dyDescent="0.25">
      <c r="A20" s="2"/>
      <c r="B20" s="91" t="s">
        <v>134</v>
      </c>
      <c r="C20" s="92"/>
      <c r="D20" s="92"/>
      <c r="E20" s="92"/>
      <c r="F20" s="93"/>
      <c r="G20" s="21">
        <f>SUM(G10:G19)-SUM(E10:E19)</f>
        <v>-3069637.6068000002</v>
      </c>
      <c r="H20" s="22" t="s">
        <v>4</v>
      </c>
      <c r="I20" s="2"/>
    </row>
    <row r="21" spans="1:9" x14ac:dyDescent="0.25">
      <c r="A21" s="2"/>
      <c r="B21" s="91" t="s">
        <v>135</v>
      </c>
      <c r="C21" s="92"/>
      <c r="D21" s="92"/>
      <c r="E21" s="92"/>
      <c r="F21" s="93"/>
      <c r="G21" s="21">
        <f>G20*(1+'Fane 2.1. Økonomisk ramme 2018'!E18/100)</f>
        <v>-3123356.2649190002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68961795.636290401</v>
      </c>
      <c r="H9" s="23" t="s">
        <v>4</v>
      </c>
      <c r="I9" s="2"/>
    </row>
    <row r="10" spans="1:9" x14ac:dyDescent="0.25">
      <c r="A10" s="2"/>
      <c r="B10" s="54" t="s">
        <v>180</v>
      </c>
      <c r="C10" s="52"/>
      <c r="D10" s="52"/>
      <c r="E10" s="52"/>
      <c r="F10" s="53"/>
      <c r="G10" s="12">
        <v>-1130787.0189807781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11" t="s">
        <v>47</v>
      </c>
      <c r="C9" s="112"/>
      <c r="D9" s="112"/>
      <c r="E9" s="112"/>
      <c r="F9" s="113"/>
      <c r="G9" s="12">
        <f>'Fane 3. Korrigeret grundlag'!G9+(SUM('Fane 2.1. Økonomisk ramme 2018'!E13,'Fane 2.1. Økonomisk ramme 2018'!E16))</f>
        <v>28461884.302037872</v>
      </c>
      <c r="H9" s="23" t="s">
        <v>4</v>
      </c>
      <c r="I9" s="2"/>
    </row>
    <row r="10" spans="1:9" x14ac:dyDescent="0.25">
      <c r="A10" s="2"/>
      <c r="B10" s="55" t="s">
        <v>179</v>
      </c>
      <c r="C10" s="56"/>
      <c r="D10" s="56"/>
      <c r="E10" s="56"/>
      <c r="F10" s="57"/>
      <c r="G10" s="12">
        <v>-569237.68000000005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567615.35875847074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40499911.334252521</v>
      </c>
      <c r="H13" s="23" t="s">
        <v>4</v>
      </c>
      <c r="I13" s="2"/>
    </row>
    <row r="14" spans="1:9" x14ac:dyDescent="0.25">
      <c r="A14" s="2"/>
      <c r="B14" s="54" t="s">
        <v>181</v>
      </c>
      <c r="C14" s="52"/>
      <c r="D14" s="52"/>
      <c r="E14" s="52"/>
      <c r="F14" s="53"/>
      <c r="G14" s="12">
        <v>-366917.15059999999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722785.19199903612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1290400.5507575069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3969510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3969510.333333333</v>
      </c>
      <c r="H10" s="23" t="s">
        <v>4</v>
      </c>
      <c r="I10" s="2"/>
    </row>
    <row r="11" spans="1:9" x14ac:dyDescent="0.25">
      <c r="A11" s="2"/>
      <c r="B11" s="114" t="s">
        <v>45</v>
      </c>
      <c r="C11" s="115"/>
      <c r="D11" s="115"/>
      <c r="E11" s="115"/>
      <c r="F11" s="116"/>
      <c r="G11" s="50">
        <f>G9-G10</f>
        <v>-0.33333333302289248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7" t="s">
        <v>3</v>
      </c>
      <c r="G9" s="117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3001365</v>
      </c>
      <c r="F10" s="12">
        <f>E10/D10</f>
        <v>40018.199999999997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588300</v>
      </c>
      <c r="F11" s="12">
        <f t="shared" ref="F11:F19" si="0">E11/D11</f>
        <v>7844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571207</v>
      </c>
      <c r="F12" s="12">
        <f t="shared" si="0"/>
        <v>7616.0933333333332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60</v>
      </c>
      <c r="E13" s="27">
        <v>1230055</v>
      </c>
      <c r="F13" s="12">
        <f t="shared" si="0"/>
        <v>20500.916666666668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25</v>
      </c>
      <c r="E14" s="27">
        <v>22595</v>
      </c>
      <c r="F14" s="12">
        <f t="shared" si="0"/>
        <v>903.8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3231425</v>
      </c>
      <c r="F15" s="12">
        <f t="shared" si="0"/>
        <v>323142.5</v>
      </c>
      <c r="G15" s="23" t="s">
        <v>4</v>
      </c>
      <c r="H15" s="2"/>
    </row>
    <row r="16" spans="1:8" ht="26.25" x14ac:dyDescent="0.25">
      <c r="A16" s="2"/>
      <c r="B16" s="47" t="s">
        <v>152</v>
      </c>
      <c r="C16" s="41">
        <v>2016</v>
      </c>
      <c r="D16" s="28">
        <v>50</v>
      </c>
      <c r="E16" s="27">
        <v>2189773</v>
      </c>
      <c r="F16" s="12">
        <f t="shared" si="0"/>
        <v>43795.46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20</v>
      </c>
      <c r="E17" s="27">
        <v>61379</v>
      </c>
      <c r="F17" s="12">
        <f t="shared" si="0"/>
        <v>3068.95</v>
      </c>
      <c r="G17" s="23" t="s">
        <v>4</v>
      </c>
      <c r="H17" s="2"/>
    </row>
    <row r="18" spans="1:8" x14ac:dyDescent="0.25">
      <c r="A18" s="2"/>
      <c r="B18" s="47" t="s">
        <v>154</v>
      </c>
      <c r="C18" s="41">
        <v>2016</v>
      </c>
      <c r="D18" s="28">
        <v>75</v>
      </c>
      <c r="E18" s="27">
        <v>11859367</v>
      </c>
      <c r="F18" s="12">
        <f t="shared" si="0"/>
        <v>158124.89333333334</v>
      </c>
      <c r="G18" s="23" t="s">
        <v>4</v>
      </c>
      <c r="H18" s="2"/>
    </row>
    <row r="19" spans="1:8" x14ac:dyDescent="0.25">
      <c r="A19" s="2"/>
      <c r="B19" s="47" t="s">
        <v>148</v>
      </c>
      <c r="C19" s="41">
        <v>2016</v>
      </c>
      <c r="D19" s="28">
        <v>75</v>
      </c>
      <c r="E19" s="27">
        <v>1963681</v>
      </c>
      <c r="F19" s="12">
        <f t="shared" si="0"/>
        <v>26182.413333333334</v>
      </c>
      <c r="G19" s="23" t="s">
        <v>4</v>
      </c>
      <c r="H19" s="2"/>
    </row>
    <row r="20" spans="1:8" x14ac:dyDescent="0.25">
      <c r="A20" s="2"/>
      <c r="B20" s="91" t="s">
        <v>76</v>
      </c>
      <c r="C20" s="92"/>
      <c r="D20" s="92"/>
      <c r="E20" s="93"/>
      <c r="F20" s="21">
        <f>SUM(F10:F19)</f>
        <v>631197.22666666668</v>
      </c>
      <c r="G20" s="22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2017-09-29T11:24:23Z</dcterms:modified>
</cp:coreProperties>
</file>