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 firstSheet="4" activeTab="4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3" i="15" l="1"/>
  <c r="G13" i="9" l="1"/>
  <c r="G9" i="9"/>
  <c r="G9" i="8"/>
  <c r="G13" i="10" l="1"/>
  <c r="G16" i="9" l="1"/>
  <c r="G12" i="9"/>
  <c r="G12" i="8"/>
  <c r="E12" i="2"/>
  <c r="G11" i="10" l="1"/>
  <c r="F18" i="20"/>
  <c r="F19" i="20" s="1"/>
  <c r="E15" i="2" s="1"/>
  <c r="F23" i="11" l="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F11" i="20" l="1"/>
  <c r="F12" i="20" s="1"/>
  <c r="E14" i="2" s="1"/>
  <c r="D11" i="20"/>
  <c r="D12" i="20" s="1"/>
  <c r="E13" i="2" s="1"/>
  <c r="E17" i="2"/>
  <c r="E16" i="2"/>
  <c r="E10" i="2" l="1"/>
  <c r="G18" i="19"/>
  <c r="G19" i="19" s="1"/>
  <c r="E11" i="2" s="1"/>
  <c r="G12" i="7"/>
  <c r="E10" i="15" l="1"/>
  <c r="E9" i="2"/>
  <c r="E15" i="13"/>
  <c r="F11" i="11"/>
  <c r="F24" i="11"/>
  <c r="E19" i="2" l="1"/>
  <c r="E16" i="15"/>
  <c r="G16" i="15" s="1"/>
  <c r="G11" i="9" l="1"/>
  <c r="G30" i="13"/>
  <c r="E35" i="13" l="1"/>
  <c r="G35" i="13" s="1"/>
  <c r="E27" i="13"/>
  <c r="E19" i="13"/>
  <c r="G11" i="12"/>
  <c r="E26" i="2" s="1"/>
  <c r="G29" i="12"/>
  <c r="E29" i="2" s="1"/>
  <c r="G23" i="12"/>
  <c r="E28" i="2" s="1"/>
  <c r="G17" i="12"/>
  <c r="E27" i="2" s="1"/>
  <c r="F10" i="11"/>
  <c r="F25" i="11" s="1"/>
  <c r="E24" i="2"/>
  <c r="G24" i="2" s="1"/>
  <c r="G33" i="12" l="1"/>
  <c r="G35" i="12" s="1"/>
  <c r="E30" i="2" s="1"/>
  <c r="E28" i="13"/>
  <c r="G28" i="13" s="1"/>
  <c r="G36" i="13" s="1"/>
  <c r="E33" i="2" s="1"/>
  <c r="G33" i="2" s="1"/>
  <c r="G17" i="9"/>
  <c r="E21" i="2" s="1"/>
  <c r="E31" i="2" l="1"/>
  <c r="G31" i="2" s="1"/>
  <c r="E20" i="2" l="1"/>
  <c r="E22" i="2" s="1"/>
  <c r="G22" i="2" l="1"/>
  <c r="G34" i="2" l="1"/>
  <c r="E9" i="15"/>
  <c r="E12" i="15" s="1"/>
  <c r="E11" i="15" l="1"/>
  <c r="E14" i="15" s="1"/>
  <c r="G14" i="15" s="1"/>
  <c r="G17" i="15" s="1"/>
</calcChain>
</file>

<file path=xl/sharedStrings.xml><?xml version="1.0" encoding="utf-8"?>
<sst xmlns="http://schemas.openxmlformats.org/spreadsheetml/2006/main" count="361" uniqueCount="185">
  <si>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</si>
  <si>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</si>
  <si>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</si>
  <si>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</si>
  <si>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</si>
  <si>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</si>
  <si>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</si>
  <si>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</si>
  <si>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</si>
  <si>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</si>
  <si>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</si>
  <si>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</si>
  <si>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</si>
  <si>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</si>
  <si>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</si>
  <si>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</si>
  <si>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</si>
  <si>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</si>
  <si>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</si>
  <si>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</si>
  <si>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</si>
  <si>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</si>
  <si>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</si>
  <si>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</si>
  <si>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</si>
  <si>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</si>
  <si>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</si>
  <si>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</si>
  <si>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</si>
  <si>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</si>
  <si>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</si>
  <si>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</si>
  <si>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</si>
  <si>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</si>
  <si>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</si>
  <si>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</si>
  <si>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</si>
  <si>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</si>
  <si>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</si>
  <si>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</si>
  <si>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</si>
  <si>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</si>
  <si>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</si>
  <si>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</si>
  <si>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</si>
  <si>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</si>
  <si>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</si>
  <si>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</si>
  <si>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</si>
  <si>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</si>
  <si>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</si>
  <si>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</si>
  <si>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</si>
  <si>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</si>
  <si>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</si>
  <si>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</si>
  <si>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</si>
  <si>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</si>
  <si>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</si>
  <si>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</si>
  <si>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</si>
  <si>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</si>
  <si>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</si>
  <si>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</si>
  <si>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</si>
  <si>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</si>
  <si>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</si>
  <si>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</si>
  <si>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</si>
  <si>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</si>
  <si>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</si>
  <si>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</si>
  <si>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</si>
  <si>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</si>
  <si>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</si>
  <si>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</si>
  <si>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</si>
  <si>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</si>
  <si>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</si>
  <si>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</si>
  <si>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</si>
  <si>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</si>
  <si>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</si>
  <si>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</si>
  <si>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</si>
  <si>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</si>
  <si>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</si>
  <si>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</si>
  <si>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</si>
  <si>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</si>
  <si>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</si>
  <si>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</si>
  <si>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</si>
  <si>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</si>
  <si>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</si>
  <si>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</si>
  <si>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</si>
  <si>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</si>
  <si>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</si>
  <si>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</si>
  <si>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</si>
  <si>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</si>
  <si>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</si>
  <si>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</si>
  <si>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</si>
  <si>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</si>
  <si>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</si>
  <si>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</si>
  <si>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</si>
  <si>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</si>
  <si>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</si>
  <si>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</si>
  <si>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</si>
  <si>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</si>
  <si>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</si>
  <si>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</si>
  <si>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</si>
  <si>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</si>
  <si>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</si>
  <si>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</si>
  <si>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</si>
  <si>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</si>
  <si>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</si>
  <si>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</si>
  <si>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</si>
  <si>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</si>
  <si>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</si>
  <si>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</si>
  <si>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</si>
  <si>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</si>
  <si>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</si>
  <si>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</si>
  <si>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</si>
  <si>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</si>
  <si>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</si>
  <si>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</si>
  <si>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</si>
  <si>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</si>
  <si>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</si>
  <si>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</si>
  <si>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</si>
  <si>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</si>
  <si>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</si>
  <si>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</si>
  <si>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</si>
  <si>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</si>
  <si>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Indløb med riste, Konstruktioner</t>
  </si>
  <si>
    <t>Indløb med riste, Mek/EL</t>
  </si>
  <si>
    <t>Indløb med riste, SRO</t>
  </si>
  <si>
    <t>Ø 200 mm &lt; Ledningsnet ≤ Ø 500 mm</t>
  </si>
  <si>
    <t>Ø 500 mm &lt; Ledningsnet ≤ Ø 800 mm</t>
  </si>
  <si>
    <t>Strømpeforing Ø 500 mm &lt; Ledningsnet ≤ Ø 800 mm</t>
  </si>
  <si>
    <t>Pumpestationer m. overbygning (&lt; 20 m2), Mek/EL</t>
  </si>
  <si>
    <t>Pumpestationer m. overbygning (&lt; 20 m2), SRO</t>
  </si>
  <si>
    <t>Arbejdsplads</t>
  </si>
  <si>
    <t>Værksteder, garager</t>
  </si>
  <si>
    <t>Beluftningstanke, SRO</t>
  </si>
  <si>
    <t>Efterklaringstanke, Mek/El</t>
  </si>
  <si>
    <t>Forsinkelsesbassiner, lukkede uden automatisk rensning og SRO Miljøklasse B (mindre end 1.000 m3)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</si>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</sst>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17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protection locked="0"/>
    </xf>
    <xf numFmtId="49" fontId="8" fillId="10" borderId="10" xfId="0" applyNumberFormat="1" applyFont="1" applyFill="1" applyBorder="1" applyAlignment="1" applyProtection="1">
      <protection locked="0"/>
    </xf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>
      <protection locked="0"/>
    </xf>
    <xf numFmtId="3" fontId="8" fillId="10" borderId="1" xfId="1" applyNumberFormat="1" applyFont="1" applyFill="1" applyBorder="1" applyAlignment="1" applyProtection="1">
      <protection locked="0"/>
    </xf>
    <xf numFmtId="3" fontId="11" fillId="4" borderId="1" xfId="0" applyNumberFormat="1" applyFont="1" applyFill="1" applyBorder="1" applyProtection="1"/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0" xfId="0" applyFont="1" applyFill="1" applyBorder="1" applyAlignment="1" applyProtection="1">
      <alignment horizontal="left"/>
      <protection locked="0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8" fillId="10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view="pageLayout" zoomScaleNormal="100" workbookViewId="0">
      <selection activeCell="D16" sqref="D16:G16"/>
    </sheetView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7" t="s">
        <v>5</v>
      </c>
      <c r="E6" s="67"/>
      <c r="F6" s="67"/>
      <c r="G6" s="67"/>
      <c r="H6" s="4"/>
      <c r="I6" s="2"/>
    </row>
    <row r="7" spans="1:9" ht="15" customHeight="1" x14ac:dyDescent="0.25">
      <c r="A7" s="2"/>
      <c r="B7" s="2"/>
      <c r="C7" s="4"/>
      <c r="D7" s="67"/>
      <c r="E7" s="67"/>
      <c r="F7" s="67"/>
      <c r="G7" s="67"/>
      <c r="H7" s="4"/>
      <c r="I7" s="2"/>
    </row>
    <row r="8" spans="1:9" ht="15.75" x14ac:dyDescent="0.25">
      <c r="A8" s="2"/>
      <c r="B8" s="2"/>
      <c r="C8" s="5"/>
      <c r="D8" s="72" t="s">
        <v>122</v>
      </c>
      <c r="E8" s="72"/>
      <c r="F8" s="72"/>
      <c r="G8" s="72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71" t="s">
        <v>6</v>
      </c>
      <c r="E11" s="71"/>
      <c r="F11" s="71"/>
      <c r="G11" s="71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64" t="s">
        <v>69</v>
      </c>
      <c r="E13" s="65"/>
      <c r="F13" s="65"/>
      <c r="G13" s="66"/>
      <c r="H13" s="2"/>
      <c r="I13" s="2"/>
    </row>
    <row r="14" spans="1:9" x14ac:dyDescent="0.25">
      <c r="A14" s="2"/>
      <c r="B14" s="2"/>
      <c r="C14" s="7" t="s">
        <v>68</v>
      </c>
      <c r="D14" s="64" t="s">
        <v>70</v>
      </c>
      <c r="E14" s="65"/>
      <c r="F14" s="65"/>
      <c r="G14" s="66"/>
      <c r="H14" s="2"/>
      <c r="I14" s="2"/>
    </row>
    <row r="15" spans="1:9" x14ac:dyDescent="0.25">
      <c r="A15" s="2"/>
      <c r="B15" s="2"/>
      <c r="C15" s="7" t="s">
        <v>8</v>
      </c>
      <c r="D15" s="73" t="s">
        <v>63</v>
      </c>
      <c r="E15" s="74"/>
      <c r="F15" s="74"/>
      <c r="G15" s="75"/>
      <c r="H15" s="2"/>
      <c r="I15" s="2"/>
    </row>
    <row r="16" spans="1:9" x14ac:dyDescent="0.25">
      <c r="A16" s="2"/>
      <c r="B16" s="2"/>
      <c r="C16" s="7" t="s">
        <v>9</v>
      </c>
      <c r="D16" s="73" t="s">
        <v>49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76" t="s">
        <v>15</v>
      </c>
      <c r="E17" s="77"/>
      <c r="F17" s="77"/>
      <c r="G17" s="78"/>
      <c r="H17" s="2"/>
      <c r="I17" s="2"/>
    </row>
    <row r="18" spans="1:9" x14ac:dyDescent="0.25">
      <c r="A18" s="2"/>
      <c r="B18" s="2"/>
      <c r="C18" s="7" t="s">
        <v>11</v>
      </c>
      <c r="D18" s="76" t="s">
        <v>16</v>
      </c>
      <c r="E18" s="77"/>
      <c r="F18" s="77"/>
      <c r="G18" s="78"/>
      <c r="H18" s="2"/>
      <c r="I18" s="2"/>
    </row>
    <row r="19" spans="1:9" x14ac:dyDescent="0.25">
      <c r="A19" s="2"/>
      <c r="B19" s="2"/>
      <c r="C19" s="7" t="s">
        <v>12</v>
      </c>
      <c r="D19" s="79" t="s">
        <v>17</v>
      </c>
      <c r="E19" s="80"/>
      <c r="F19" s="80"/>
      <c r="G19" s="81"/>
      <c r="H19" s="2"/>
      <c r="I19" s="2"/>
    </row>
    <row r="20" spans="1:9" x14ac:dyDescent="0.25">
      <c r="A20" s="2"/>
      <c r="B20" s="2"/>
      <c r="C20" s="7" t="s">
        <v>13</v>
      </c>
      <c r="D20" s="68" t="s">
        <v>75</v>
      </c>
      <c r="E20" s="69"/>
      <c r="F20" s="69"/>
      <c r="G20" s="70"/>
      <c r="H20" s="2"/>
      <c r="I20" s="2"/>
    </row>
    <row r="21" spans="1:9" x14ac:dyDescent="0.25">
      <c r="A21" s="2"/>
      <c r="B21" s="2"/>
      <c r="C21" s="7" t="s">
        <v>14</v>
      </c>
      <c r="D21" s="68" t="s">
        <v>98</v>
      </c>
      <c r="E21" s="69"/>
      <c r="F21" s="69"/>
      <c r="G21" s="70"/>
      <c r="H21" s="2"/>
      <c r="I21" s="2"/>
    </row>
    <row r="22" spans="1:9" x14ac:dyDescent="0.25">
      <c r="A22" s="2"/>
      <c r="B22" s="2"/>
      <c r="C22" s="7" t="s">
        <v>59</v>
      </c>
      <c r="D22" s="58" t="s">
        <v>142</v>
      </c>
      <c r="E22" s="59"/>
      <c r="F22" s="59"/>
      <c r="G22" s="60"/>
      <c r="H22" s="2"/>
      <c r="I22" s="2"/>
    </row>
    <row r="23" spans="1:9" x14ac:dyDescent="0.25">
      <c r="A23" s="2"/>
      <c r="B23" s="2"/>
      <c r="C23" s="7" t="s">
        <v>66</v>
      </c>
      <c r="D23" s="61" t="s">
        <v>65</v>
      </c>
      <c r="E23" s="62"/>
      <c r="F23" s="62"/>
      <c r="G23" s="63"/>
      <c r="H23" s="2"/>
      <c r="I23" s="2"/>
    </row>
    <row r="24" spans="1:9" x14ac:dyDescent="0.25">
      <c r="A24" s="2"/>
      <c r="B24" s="2"/>
      <c r="C24" s="7" t="s">
        <v>67</v>
      </c>
      <c r="D24" s="61" t="s">
        <v>64</v>
      </c>
      <c r="E24" s="62"/>
      <c r="F24" s="62"/>
      <c r="G24" s="63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>
      <selection activeCell="B12" sqref="B12"/>
    </sheetView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104" t="s">
        <v>77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101" t="s">
        <v>174</v>
      </c>
      <c r="C8" s="102"/>
      <c r="D8" s="102"/>
      <c r="E8" s="102"/>
      <c r="F8" s="102"/>
      <c r="G8" s="102"/>
      <c r="H8" s="103"/>
      <c r="I8" s="2"/>
    </row>
    <row r="9" spans="1:9" x14ac:dyDescent="0.25">
      <c r="A9" s="2"/>
      <c r="B9" s="86" t="s">
        <v>78</v>
      </c>
      <c r="C9" s="87"/>
      <c r="D9" s="87"/>
      <c r="E9" s="87"/>
      <c r="F9" s="88"/>
      <c r="G9" s="27">
        <v>1779818.84</v>
      </c>
      <c r="H9" s="23" t="s">
        <v>4</v>
      </c>
      <c r="I9" s="2"/>
    </row>
    <row r="10" spans="1:9" x14ac:dyDescent="0.25">
      <c r="A10" s="2"/>
      <c r="B10" s="86" t="s">
        <v>79</v>
      </c>
      <c r="C10" s="87"/>
      <c r="D10" s="87"/>
      <c r="E10" s="87"/>
      <c r="F10" s="88"/>
      <c r="G10" s="27">
        <v>2206000</v>
      </c>
      <c r="H10" s="23" t="s">
        <v>4</v>
      </c>
      <c r="I10" s="2"/>
    </row>
    <row r="11" spans="1:9" x14ac:dyDescent="0.25">
      <c r="A11" s="2"/>
      <c r="B11" s="96" t="s">
        <v>175</v>
      </c>
      <c r="C11" s="97"/>
      <c r="D11" s="97"/>
      <c r="E11" s="97"/>
      <c r="F11" s="98"/>
      <c r="G11" s="21">
        <f>G9-G10</f>
        <v>-426181.15999999992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101" t="s">
        <v>176</v>
      </c>
      <c r="C14" s="102"/>
      <c r="D14" s="102"/>
      <c r="E14" s="102"/>
      <c r="F14" s="102"/>
      <c r="G14" s="102"/>
      <c r="H14" s="103"/>
      <c r="I14" s="2"/>
    </row>
    <row r="15" spans="1:9" x14ac:dyDescent="0.25">
      <c r="A15" s="2"/>
      <c r="B15" s="86" t="s">
        <v>80</v>
      </c>
      <c r="C15" s="87"/>
      <c r="D15" s="87"/>
      <c r="E15" s="87"/>
      <c r="F15" s="88"/>
      <c r="G15" s="27">
        <v>8701495</v>
      </c>
      <c r="H15" s="23" t="s">
        <v>4</v>
      </c>
      <c r="I15" s="2"/>
    </row>
    <row r="16" spans="1:9" x14ac:dyDescent="0.25">
      <c r="A16" s="2"/>
      <c r="B16" s="86" t="s">
        <v>81</v>
      </c>
      <c r="C16" s="87"/>
      <c r="D16" s="87"/>
      <c r="E16" s="87"/>
      <c r="F16" s="88"/>
      <c r="G16" s="27">
        <v>7300000</v>
      </c>
      <c r="H16" s="23" t="s">
        <v>4</v>
      </c>
      <c r="I16" s="2"/>
    </row>
    <row r="17" spans="1:9" x14ac:dyDescent="0.25">
      <c r="A17" s="2"/>
      <c r="B17" s="96" t="s">
        <v>176</v>
      </c>
      <c r="C17" s="97"/>
      <c r="D17" s="97"/>
      <c r="E17" s="97"/>
      <c r="F17" s="98"/>
      <c r="G17" s="21">
        <f>G15-G16</f>
        <v>1401495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101" t="s">
        <v>177</v>
      </c>
      <c r="C20" s="102"/>
      <c r="D20" s="102"/>
      <c r="E20" s="102"/>
      <c r="F20" s="102"/>
      <c r="G20" s="102"/>
      <c r="H20" s="103"/>
      <c r="I20" s="2"/>
    </row>
    <row r="21" spans="1:9" x14ac:dyDescent="0.25">
      <c r="A21" s="2"/>
      <c r="B21" s="86" t="s">
        <v>82</v>
      </c>
      <c r="C21" s="87"/>
      <c r="D21" s="87"/>
      <c r="E21" s="87"/>
      <c r="F21" s="88"/>
      <c r="G21" s="27">
        <v>0</v>
      </c>
      <c r="H21" s="23" t="s">
        <v>4</v>
      </c>
      <c r="I21" s="2"/>
    </row>
    <row r="22" spans="1:9" x14ac:dyDescent="0.25">
      <c r="A22" s="2"/>
      <c r="B22" s="86" t="s">
        <v>83</v>
      </c>
      <c r="C22" s="87"/>
      <c r="D22" s="87"/>
      <c r="E22" s="87"/>
      <c r="F22" s="88"/>
      <c r="G22" s="27">
        <v>650000</v>
      </c>
      <c r="H22" s="23" t="s">
        <v>4</v>
      </c>
      <c r="I22" s="2"/>
    </row>
    <row r="23" spans="1:9" x14ac:dyDescent="0.25">
      <c r="A23" s="2"/>
      <c r="B23" s="96" t="s">
        <v>177</v>
      </c>
      <c r="C23" s="97"/>
      <c r="D23" s="97"/>
      <c r="E23" s="97"/>
      <c r="F23" s="98"/>
      <c r="G23" s="21">
        <f>G21-G22</f>
        <v>-650000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101" t="s">
        <v>178</v>
      </c>
      <c r="C26" s="102"/>
      <c r="D26" s="102"/>
      <c r="E26" s="102"/>
      <c r="F26" s="102"/>
      <c r="G26" s="102"/>
      <c r="H26" s="103"/>
      <c r="I26" s="2"/>
    </row>
    <row r="27" spans="1:9" ht="29.25" customHeight="1" x14ac:dyDescent="0.25">
      <c r="A27" s="2"/>
      <c r="B27" s="83" t="s">
        <v>84</v>
      </c>
      <c r="C27" s="84"/>
      <c r="D27" s="84"/>
      <c r="E27" s="84"/>
      <c r="F27" s="85"/>
      <c r="G27" s="27">
        <v>0</v>
      </c>
      <c r="H27" s="23" t="s">
        <v>4</v>
      </c>
      <c r="I27" s="2"/>
    </row>
    <row r="28" spans="1:9" x14ac:dyDescent="0.25">
      <c r="A28" s="2"/>
      <c r="B28" s="86" t="s">
        <v>85</v>
      </c>
      <c r="C28" s="87"/>
      <c r="D28" s="87"/>
      <c r="E28" s="87"/>
      <c r="F28" s="88"/>
      <c r="G28" s="27">
        <v>0</v>
      </c>
      <c r="H28" s="23" t="s">
        <v>4</v>
      </c>
      <c r="I28" s="2"/>
    </row>
    <row r="29" spans="1:9" ht="15" customHeight="1" x14ac:dyDescent="0.25">
      <c r="A29" s="2"/>
      <c r="B29" s="101" t="s">
        <v>178</v>
      </c>
      <c r="C29" s="102"/>
      <c r="D29" s="102"/>
      <c r="E29" s="102"/>
      <c r="F29" s="103"/>
      <c r="G29" s="21">
        <f>G27-G28</f>
        <v>0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101" t="s">
        <v>86</v>
      </c>
      <c r="C32" s="102"/>
      <c r="D32" s="102"/>
      <c r="E32" s="102"/>
      <c r="F32" s="102"/>
      <c r="G32" s="102"/>
      <c r="H32" s="103"/>
      <c r="I32" s="2"/>
    </row>
    <row r="33" spans="1:9" x14ac:dyDescent="0.25">
      <c r="A33" s="2"/>
      <c r="B33" s="86" t="s">
        <v>87</v>
      </c>
      <c r="C33" s="87"/>
      <c r="D33" s="87"/>
      <c r="E33" s="87"/>
      <c r="F33" s="88"/>
      <c r="G33" s="12">
        <f>'Fane 8. Gen. inv. i 2016'!F25</f>
        <v>1696759.9700000002</v>
      </c>
      <c r="H33" s="23" t="s">
        <v>4</v>
      </c>
      <c r="I33" s="2"/>
    </row>
    <row r="34" spans="1:9" x14ac:dyDescent="0.25">
      <c r="A34" s="2"/>
      <c r="B34" s="86" t="s">
        <v>88</v>
      </c>
      <c r="C34" s="87"/>
      <c r="D34" s="87"/>
      <c r="E34" s="87"/>
      <c r="F34" s="88"/>
      <c r="G34" s="27">
        <v>1412760.56</v>
      </c>
      <c r="H34" s="23" t="s">
        <v>4</v>
      </c>
      <c r="I34" s="2"/>
    </row>
    <row r="35" spans="1:9" x14ac:dyDescent="0.25">
      <c r="A35" s="2"/>
      <c r="B35" s="96" t="s">
        <v>86</v>
      </c>
      <c r="C35" s="97"/>
      <c r="D35" s="97"/>
      <c r="E35" s="97"/>
      <c r="F35" s="98"/>
      <c r="G35" s="21">
        <f>G33-G34</f>
        <v>283999.41000000015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topLeftCell="A22" zoomScaleNormal="100" workbookViewId="0">
      <selection activeCell="E40" sqref="E40"/>
    </sheetView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104" t="s">
        <v>89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90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93" t="s">
        <v>91</v>
      </c>
      <c r="C9" s="94"/>
      <c r="D9" s="94"/>
      <c r="E9" s="94"/>
      <c r="F9" s="95"/>
      <c r="G9" s="26">
        <v>107606682.12378545</v>
      </c>
      <c r="H9" s="38" t="s">
        <v>4</v>
      </c>
      <c r="I9" s="2"/>
    </row>
    <row r="10" spans="1:9" x14ac:dyDescent="0.25">
      <c r="A10" s="2"/>
      <c r="B10" s="96" t="s">
        <v>92</v>
      </c>
      <c r="C10" s="97"/>
      <c r="D10" s="97"/>
      <c r="E10" s="97"/>
      <c r="F10" s="97"/>
      <c r="G10" s="97"/>
      <c r="H10" s="98"/>
      <c r="I10" s="2"/>
    </row>
    <row r="11" spans="1:9" x14ac:dyDescent="0.25">
      <c r="A11" s="2"/>
      <c r="B11" s="86" t="s">
        <v>19</v>
      </c>
      <c r="C11" s="87"/>
      <c r="D11" s="88"/>
      <c r="E11" s="27">
        <v>47896865</v>
      </c>
      <c r="F11" s="23" t="s">
        <v>4</v>
      </c>
      <c r="G11" s="20"/>
      <c r="H11" s="42"/>
      <c r="I11" s="2"/>
    </row>
    <row r="12" spans="1:9" x14ac:dyDescent="0.25">
      <c r="A12" s="2"/>
      <c r="B12" s="86" t="s">
        <v>93</v>
      </c>
      <c r="C12" s="87"/>
      <c r="D12" s="88"/>
      <c r="E12" s="27">
        <v>10370559</v>
      </c>
      <c r="F12" s="23" t="s">
        <v>4</v>
      </c>
      <c r="G12" s="15"/>
      <c r="H12" s="43"/>
      <c r="I12" s="2"/>
    </row>
    <row r="13" spans="1:9" x14ac:dyDescent="0.25">
      <c r="A13" s="2"/>
      <c r="B13" s="86" t="s">
        <v>94</v>
      </c>
      <c r="C13" s="87"/>
      <c r="D13" s="88"/>
      <c r="E13" s="27">
        <v>6078375</v>
      </c>
      <c r="F13" s="23" t="s">
        <v>4</v>
      </c>
      <c r="G13" s="15"/>
      <c r="H13" s="43"/>
      <c r="I13" s="2"/>
    </row>
    <row r="14" spans="1:9" x14ac:dyDescent="0.25">
      <c r="A14" s="2"/>
      <c r="B14" s="86" t="s">
        <v>95</v>
      </c>
      <c r="C14" s="87"/>
      <c r="D14" s="88"/>
      <c r="E14" s="27">
        <v>2932772</v>
      </c>
      <c r="F14" s="23" t="s">
        <v>4</v>
      </c>
      <c r="G14" s="15"/>
      <c r="H14" s="43"/>
      <c r="I14" s="2"/>
    </row>
    <row r="15" spans="1:9" x14ac:dyDescent="0.25">
      <c r="A15" s="2"/>
      <c r="B15" s="93" t="s">
        <v>20</v>
      </c>
      <c r="C15" s="94"/>
      <c r="D15" s="95"/>
      <c r="E15" s="18">
        <f>SUM(E11:E14)</f>
        <v>67278571</v>
      </c>
      <c r="F15" s="38" t="s">
        <v>4</v>
      </c>
      <c r="G15" s="15"/>
      <c r="H15" s="43"/>
      <c r="I15" s="2"/>
    </row>
    <row r="16" spans="1:9" x14ac:dyDescent="0.25">
      <c r="A16" s="2"/>
      <c r="B16" s="86" t="s">
        <v>21</v>
      </c>
      <c r="C16" s="87"/>
      <c r="D16" s="88"/>
      <c r="E16" s="27">
        <v>3538729</v>
      </c>
      <c r="F16" s="23" t="s">
        <v>4</v>
      </c>
      <c r="G16" s="15"/>
      <c r="H16" s="43"/>
      <c r="I16" s="2"/>
    </row>
    <row r="17" spans="1:9" x14ac:dyDescent="0.25">
      <c r="A17" s="2"/>
      <c r="B17" s="86" t="s">
        <v>22</v>
      </c>
      <c r="C17" s="87"/>
      <c r="D17" s="88"/>
      <c r="E17" s="27">
        <v>0</v>
      </c>
      <c r="F17" s="23" t="s">
        <v>4</v>
      </c>
      <c r="G17" s="15"/>
      <c r="H17" s="43"/>
      <c r="I17" s="2"/>
    </row>
    <row r="18" spans="1:9" x14ac:dyDescent="0.25">
      <c r="A18" s="2"/>
      <c r="B18" s="86" t="s">
        <v>23</v>
      </c>
      <c r="C18" s="87"/>
      <c r="D18" s="88"/>
      <c r="E18" s="27">
        <v>0</v>
      </c>
      <c r="F18" s="23" t="s">
        <v>4</v>
      </c>
      <c r="G18" s="15"/>
      <c r="H18" s="43"/>
      <c r="I18" s="2"/>
    </row>
    <row r="19" spans="1:9" x14ac:dyDescent="0.25">
      <c r="A19" s="2"/>
      <c r="B19" s="93" t="s">
        <v>24</v>
      </c>
      <c r="C19" s="94"/>
      <c r="D19" s="95"/>
      <c r="E19" s="18">
        <f>SUM(E16:E18)</f>
        <v>3538729</v>
      </c>
      <c r="F19" s="38" t="s">
        <v>4</v>
      </c>
      <c r="G19" s="15"/>
      <c r="H19" s="43"/>
      <c r="I19" s="2"/>
    </row>
    <row r="20" spans="1:9" ht="29.25" customHeight="1" x14ac:dyDescent="0.25">
      <c r="A20" s="2"/>
      <c r="B20" s="83" t="s">
        <v>25</v>
      </c>
      <c r="C20" s="84"/>
      <c r="D20" s="85"/>
      <c r="E20" s="27">
        <v>-6734873</v>
      </c>
      <c r="F20" s="23" t="s">
        <v>4</v>
      </c>
      <c r="G20" s="15"/>
      <c r="H20" s="43"/>
      <c r="I20" s="2"/>
    </row>
    <row r="21" spans="1:9" ht="30.75" customHeight="1" x14ac:dyDescent="0.25">
      <c r="A21" s="2"/>
      <c r="B21" s="83" t="s">
        <v>26</v>
      </c>
      <c r="C21" s="84"/>
      <c r="D21" s="85"/>
      <c r="E21" s="27">
        <v>-49648594</v>
      </c>
      <c r="F21" s="23" t="s">
        <v>4</v>
      </c>
      <c r="G21" s="15"/>
      <c r="H21" s="43"/>
      <c r="I21" s="2"/>
    </row>
    <row r="22" spans="1:9" x14ac:dyDescent="0.25">
      <c r="A22" s="2"/>
      <c r="B22" s="86" t="s">
        <v>27</v>
      </c>
      <c r="C22" s="87"/>
      <c r="D22" s="88"/>
      <c r="E22" s="27">
        <v>0</v>
      </c>
      <c r="F22" s="23" t="s">
        <v>4</v>
      </c>
      <c r="G22" s="15"/>
      <c r="H22" s="43"/>
      <c r="I22" s="2"/>
    </row>
    <row r="23" spans="1:9" x14ac:dyDescent="0.25">
      <c r="A23" s="2"/>
      <c r="B23" s="86" t="s">
        <v>28</v>
      </c>
      <c r="C23" s="87"/>
      <c r="D23" s="88"/>
      <c r="E23" s="27">
        <v>0</v>
      </c>
      <c r="F23" s="23" t="s">
        <v>4</v>
      </c>
      <c r="G23" s="15"/>
      <c r="H23" s="43"/>
      <c r="I23" s="2"/>
    </row>
    <row r="24" spans="1:9" ht="30" customHeight="1" x14ac:dyDescent="0.25">
      <c r="A24" s="2"/>
      <c r="B24" s="83" t="s">
        <v>29</v>
      </c>
      <c r="C24" s="84"/>
      <c r="D24" s="85"/>
      <c r="E24" s="27">
        <v>0</v>
      </c>
      <c r="F24" s="23" t="s">
        <v>4</v>
      </c>
      <c r="G24" s="15"/>
      <c r="H24" s="43"/>
      <c r="I24" s="2"/>
    </row>
    <row r="25" spans="1:9" ht="30" customHeight="1" x14ac:dyDescent="0.25">
      <c r="A25" s="2"/>
      <c r="B25" s="83" t="s">
        <v>30</v>
      </c>
      <c r="C25" s="84"/>
      <c r="D25" s="85"/>
      <c r="E25" s="27">
        <v>0</v>
      </c>
      <c r="F25" s="23" t="s">
        <v>4</v>
      </c>
      <c r="G25" s="15"/>
      <c r="H25" s="43"/>
      <c r="I25" s="2"/>
    </row>
    <row r="26" spans="1:9" ht="30" customHeight="1" x14ac:dyDescent="0.25">
      <c r="A26" s="2"/>
      <c r="B26" s="83" t="s">
        <v>31</v>
      </c>
      <c r="C26" s="84"/>
      <c r="D26" s="85"/>
      <c r="E26" s="27">
        <v>-759778</v>
      </c>
      <c r="F26" s="23" t="s">
        <v>4</v>
      </c>
      <c r="G26" s="15"/>
      <c r="H26" s="43"/>
      <c r="I26" s="2"/>
    </row>
    <row r="27" spans="1:9" x14ac:dyDescent="0.25">
      <c r="A27" s="2"/>
      <c r="B27" s="93" t="s">
        <v>32</v>
      </c>
      <c r="C27" s="94"/>
      <c r="D27" s="95"/>
      <c r="E27" s="18">
        <f>SUM(E20:E26)</f>
        <v>-57143245</v>
      </c>
      <c r="F27" s="38" t="s">
        <v>4</v>
      </c>
      <c r="G27" s="16"/>
      <c r="H27" s="44"/>
      <c r="I27" s="2"/>
    </row>
    <row r="28" spans="1:9" x14ac:dyDescent="0.25">
      <c r="A28" s="2"/>
      <c r="B28" s="93" t="s">
        <v>33</v>
      </c>
      <c r="C28" s="94"/>
      <c r="D28" s="95"/>
      <c r="E28" s="18">
        <f>E15+E19+E27</f>
        <v>13674055</v>
      </c>
      <c r="F28" s="38" t="s">
        <v>4</v>
      </c>
      <c r="G28" s="1">
        <f>IF(E28&lt;0,0,-E28)</f>
        <v>-13674055</v>
      </c>
      <c r="H28" s="38" t="s">
        <v>4</v>
      </c>
      <c r="I28" s="2"/>
    </row>
    <row r="29" spans="1:9" x14ac:dyDescent="0.25">
      <c r="A29" s="2"/>
      <c r="B29" s="96" t="s">
        <v>96</v>
      </c>
      <c r="C29" s="97"/>
      <c r="D29" s="97"/>
      <c r="E29" s="97"/>
      <c r="F29" s="97"/>
      <c r="G29" s="97"/>
      <c r="H29" s="98"/>
      <c r="I29" s="2"/>
    </row>
    <row r="30" spans="1:9" x14ac:dyDescent="0.25">
      <c r="A30" s="2"/>
      <c r="B30" s="93" t="s">
        <v>96</v>
      </c>
      <c r="C30" s="94"/>
      <c r="D30" s="95"/>
      <c r="E30" s="26">
        <v>0</v>
      </c>
      <c r="F30" s="38" t="s">
        <v>4</v>
      </c>
      <c r="G30" s="18">
        <f>-$E$30</f>
        <v>0</v>
      </c>
      <c r="H30" s="38" t="s">
        <v>4</v>
      </c>
      <c r="I30" s="2"/>
    </row>
    <row r="31" spans="1:9" x14ac:dyDescent="0.25">
      <c r="A31" s="2"/>
      <c r="B31" s="114" t="s">
        <v>57</v>
      </c>
      <c r="C31" s="97"/>
      <c r="D31" s="97"/>
      <c r="E31" s="97"/>
      <c r="F31" s="97"/>
      <c r="G31" s="97"/>
      <c r="H31" s="98"/>
      <c r="I31" s="2"/>
    </row>
    <row r="32" spans="1:9" ht="30" customHeight="1" x14ac:dyDescent="0.25">
      <c r="A32" s="2"/>
      <c r="B32" s="83" t="s">
        <v>58</v>
      </c>
      <c r="C32" s="84"/>
      <c r="D32" s="85"/>
      <c r="E32" s="27">
        <v>91247147</v>
      </c>
      <c r="F32" s="23" t="s">
        <v>4</v>
      </c>
      <c r="G32" s="20"/>
      <c r="H32" s="42"/>
      <c r="I32" s="2"/>
    </row>
    <row r="33" spans="1:9" x14ac:dyDescent="0.25">
      <c r="A33" s="2"/>
      <c r="B33" s="86" t="s">
        <v>34</v>
      </c>
      <c r="C33" s="87"/>
      <c r="D33" s="88"/>
      <c r="E33" s="27">
        <v>1360759</v>
      </c>
      <c r="F33" s="23" t="s">
        <v>4</v>
      </c>
      <c r="G33" s="15"/>
      <c r="H33" s="43"/>
      <c r="I33" s="2"/>
    </row>
    <row r="34" spans="1:9" ht="43.5" customHeight="1" x14ac:dyDescent="0.25">
      <c r="A34" s="2"/>
      <c r="B34" s="83" t="s">
        <v>35</v>
      </c>
      <c r="C34" s="84"/>
      <c r="D34" s="85"/>
      <c r="E34" s="27">
        <v>1920000</v>
      </c>
      <c r="F34" s="23" t="s">
        <v>4</v>
      </c>
      <c r="G34" s="16"/>
      <c r="H34" s="44"/>
      <c r="I34" s="2"/>
    </row>
    <row r="35" spans="1:9" x14ac:dyDescent="0.25">
      <c r="A35" s="2"/>
      <c r="B35" s="93" t="s">
        <v>36</v>
      </c>
      <c r="C35" s="94"/>
      <c r="D35" s="95"/>
      <c r="E35" s="18">
        <f>SUM(E32:E34)</f>
        <v>94527906</v>
      </c>
      <c r="F35" s="38" t="s">
        <v>4</v>
      </c>
      <c r="G35" s="18">
        <f>-E35</f>
        <v>-94527906</v>
      </c>
      <c r="H35" s="38" t="s">
        <v>4</v>
      </c>
      <c r="I35" s="2"/>
    </row>
    <row r="36" spans="1:9" x14ac:dyDescent="0.25">
      <c r="A36" s="2"/>
      <c r="B36" s="96" t="s">
        <v>97</v>
      </c>
      <c r="C36" s="97"/>
      <c r="D36" s="97"/>
      <c r="E36" s="97"/>
      <c r="F36" s="98"/>
      <c r="G36" s="21">
        <f>$G$9+$G$28+$G$30+$G$35</f>
        <v>-595278.87621454895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>
      <selection activeCell="B17" sqref="B17:G23"/>
    </sheetView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126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6" t="s">
        <v>171</v>
      </c>
      <c r="C8" s="97"/>
      <c r="D8" s="97"/>
      <c r="E8" s="97"/>
      <c r="F8" s="97"/>
      <c r="G8" s="98"/>
      <c r="H8" s="2"/>
    </row>
    <row r="9" spans="1:8" ht="29.25" customHeight="1" x14ac:dyDescent="0.25">
      <c r="A9" s="2"/>
      <c r="B9" s="89" t="s">
        <v>116</v>
      </c>
      <c r="C9" s="91"/>
      <c r="D9" s="113" t="s">
        <v>47</v>
      </c>
      <c r="E9" s="113"/>
      <c r="F9" s="113" t="s">
        <v>127</v>
      </c>
      <c r="G9" s="113"/>
      <c r="H9" s="2"/>
    </row>
    <row r="10" spans="1:8" x14ac:dyDescent="0.25">
      <c r="A10" s="2"/>
      <c r="B10" s="115" t="s">
        <v>172</v>
      </c>
      <c r="C10" s="116"/>
      <c r="D10" s="55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6" t="s">
        <v>133</v>
      </c>
      <c r="C11" s="97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96" t="s">
        <v>145</v>
      </c>
      <c r="C12" s="98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6" t="s">
        <v>167</v>
      </c>
      <c r="C15" s="97"/>
      <c r="D15" s="97"/>
      <c r="E15" s="97"/>
      <c r="F15" s="97"/>
      <c r="G15" s="98"/>
      <c r="H15" s="2"/>
    </row>
    <row r="16" spans="1:8" ht="15" customHeight="1" x14ac:dyDescent="0.25">
      <c r="A16" s="2"/>
      <c r="B16" s="89" t="s">
        <v>184</v>
      </c>
      <c r="C16" s="90"/>
      <c r="D16" s="90"/>
      <c r="E16" s="91"/>
      <c r="F16" s="113" t="s">
        <v>168</v>
      </c>
      <c r="G16" s="113"/>
      <c r="H16" s="2"/>
    </row>
    <row r="17" spans="1:8" x14ac:dyDescent="0.25">
      <c r="A17" s="2"/>
      <c r="B17" s="86" t="s">
        <v>180</v>
      </c>
      <c r="C17" s="87"/>
      <c r="D17" s="87"/>
      <c r="E17" s="88"/>
      <c r="F17" s="27">
        <v>0</v>
      </c>
      <c r="G17" s="23" t="s">
        <v>4</v>
      </c>
      <c r="H17" s="2"/>
    </row>
    <row r="18" spans="1:8" x14ac:dyDescent="0.25">
      <c r="A18" s="2"/>
      <c r="B18" s="96" t="s">
        <v>169</v>
      </c>
      <c r="C18" s="97"/>
      <c r="D18" s="97"/>
      <c r="E18" s="98"/>
      <c r="F18" s="21">
        <f>SUM(F17:F17)</f>
        <v>0</v>
      </c>
      <c r="G18" s="22" t="s">
        <v>4</v>
      </c>
      <c r="H18" s="2"/>
    </row>
    <row r="19" spans="1:8" x14ac:dyDescent="0.25">
      <c r="A19" s="2"/>
      <c r="B19" s="96" t="s">
        <v>170</v>
      </c>
      <c r="C19" s="97"/>
      <c r="D19" s="97"/>
      <c r="E19" s="98"/>
      <c r="F19" s="21">
        <f>F18*(1+'Fane 2.1. Økonomisk ramme 2018'!E18/100)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04" t="s">
        <v>118</v>
      </c>
      <c r="C3" s="104"/>
      <c r="D3" s="104"/>
      <c r="E3" s="104"/>
      <c r="F3" s="104"/>
      <c r="G3" s="104"/>
      <c r="H3" s="2"/>
    </row>
    <row r="4" spans="1:8" ht="25.5" customHeight="1" x14ac:dyDescent="0.25">
      <c r="A4" s="2"/>
      <c r="B4" s="104"/>
      <c r="C4" s="104"/>
      <c r="D4" s="104"/>
      <c r="E4" s="104"/>
      <c r="F4" s="104"/>
      <c r="G4" s="10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6" t="s">
        <v>117</v>
      </c>
      <c r="C8" s="97"/>
      <c r="D8" s="97"/>
      <c r="E8" s="97"/>
      <c r="F8" s="97"/>
      <c r="G8" s="98"/>
      <c r="H8" s="2"/>
    </row>
    <row r="9" spans="1:8" ht="29.25" customHeight="1" x14ac:dyDescent="0.25">
      <c r="A9" s="2"/>
      <c r="B9" s="45" t="s">
        <v>119</v>
      </c>
      <c r="C9" s="46"/>
      <c r="D9" s="113" t="s">
        <v>47</v>
      </c>
      <c r="E9" s="113"/>
      <c r="F9" s="113" t="s">
        <v>127</v>
      </c>
      <c r="G9" s="113"/>
      <c r="H9" s="2"/>
    </row>
    <row r="10" spans="1:8" x14ac:dyDescent="0.25">
      <c r="A10" s="2"/>
      <c r="B10" s="35" t="s">
        <v>179</v>
      </c>
      <c r="C10" s="36"/>
      <c r="D10" s="27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6" t="s">
        <v>128</v>
      </c>
      <c r="C11" s="98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96" t="s">
        <v>144</v>
      </c>
      <c r="C12" s="98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109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56</v>
      </c>
      <c r="C8" s="97"/>
      <c r="D8" s="97"/>
      <c r="E8" s="97"/>
      <c r="F8" s="97"/>
      <c r="G8" s="97"/>
      <c r="H8" s="98"/>
      <c r="I8" s="2"/>
    </row>
    <row r="9" spans="1:9" ht="15" customHeight="1" x14ac:dyDescent="0.25">
      <c r="A9" s="2"/>
      <c r="B9" s="83" t="s">
        <v>60</v>
      </c>
      <c r="C9" s="84"/>
      <c r="D9" s="85"/>
      <c r="E9" s="8">
        <f>'Fane 3. Korrigeret grundlag'!G12</f>
        <v>111126859.21213552</v>
      </c>
      <c r="F9" s="9" t="s">
        <v>4</v>
      </c>
      <c r="G9" s="10"/>
      <c r="H9" s="11"/>
      <c r="I9" s="2"/>
    </row>
    <row r="10" spans="1:9" x14ac:dyDescent="0.25">
      <c r="A10" s="2"/>
      <c r="B10" s="92" t="s">
        <v>46</v>
      </c>
      <c r="C10" s="87"/>
      <c r="D10" s="88"/>
      <c r="E10" s="12">
        <f>'Fane 3. Korrigeret grundlag'!G11</f>
        <v>2598426.7893927195</v>
      </c>
      <c r="F10" s="9" t="s">
        <v>4</v>
      </c>
      <c r="G10" s="13"/>
      <c r="H10" s="14"/>
      <c r="I10" s="2"/>
    </row>
    <row r="11" spans="1:9" x14ac:dyDescent="0.25">
      <c r="A11" s="2"/>
      <c r="B11" s="92" t="s">
        <v>121</v>
      </c>
      <c r="C11" s="87"/>
      <c r="D11" s="88"/>
      <c r="E11" s="12">
        <f>'Fane 4. Ikke-påvirkelige omk.'!G19</f>
        <v>-977268.83713799983</v>
      </c>
      <c r="F11" s="9" t="s">
        <v>4</v>
      </c>
      <c r="G11" s="13"/>
      <c r="H11" s="14"/>
      <c r="I11" s="2"/>
    </row>
    <row r="12" spans="1:9" x14ac:dyDescent="0.25">
      <c r="A12" s="2"/>
      <c r="B12" s="48" t="s">
        <v>182</v>
      </c>
      <c r="C12" s="49"/>
      <c r="D12" s="50"/>
      <c r="E12" s="12">
        <f>'Fane 5. Individuelt eff.krav'!G10</f>
        <v>-1918140.8731395192</v>
      </c>
      <c r="F12" s="9" t="s">
        <v>4</v>
      </c>
      <c r="G12" s="13"/>
      <c r="H12" s="14"/>
      <c r="I12" s="2"/>
    </row>
    <row r="13" spans="1:9" x14ac:dyDescent="0.25">
      <c r="A13" s="2"/>
      <c r="B13" s="83" t="s">
        <v>129</v>
      </c>
      <c r="C13" s="84"/>
      <c r="D13" s="85"/>
      <c r="E13" s="12">
        <f>'Fane 11. Tillæg'!$D$12</f>
        <v>0</v>
      </c>
      <c r="F13" s="9" t="s">
        <v>4</v>
      </c>
      <c r="G13" s="13"/>
      <c r="H13" s="14"/>
      <c r="I13" s="2"/>
    </row>
    <row r="14" spans="1:9" x14ac:dyDescent="0.25">
      <c r="A14" s="2"/>
      <c r="B14" s="83" t="s">
        <v>130</v>
      </c>
      <c r="C14" s="84"/>
      <c r="D14" s="85"/>
      <c r="E14" s="12">
        <f>'Fane 11. Tillæg'!$F$12</f>
        <v>0</v>
      </c>
      <c r="F14" s="9" t="s">
        <v>4</v>
      </c>
      <c r="G14" s="13"/>
      <c r="H14" s="14"/>
      <c r="I14" s="2"/>
    </row>
    <row r="15" spans="1:9" x14ac:dyDescent="0.25">
      <c r="A15" s="2"/>
      <c r="B15" s="83" t="s">
        <v>167</v>
      </c>
      <c r="C15" s="84"/>
      <c r="D15" s="85"/>
      <c r="E15" s="12">
        <f>'Fane 11. Tillæg'!F19</f>
        <v>0</v>
      </c>
      <c r="F15" s="9" t="s">
        <v>4</v>
      </c>
      <c r="G15" s="13"/>
      <c r="H15" s="14"/>
      <c r="I15" s="2"/>
    </row>
    <row r="16" spans="1:9" x14ac:dyDescent="0.25">
      <c r="A16" s="2"/>
      <c r="B16" s="83" t="s">
        <v>131</v>
      </c>
      <c r="C16" s="84"/>
      <c r="D16" s="85"/>
      <c r="E16" s="12">
        <f>'Fane 12. Bortfald'!$D$12</f>
        <v>0</v>
      </c>
      <c r="F16" s="9" t="s">
        <v>4</v>
      </c>
      <c r="G16" s="13"/>
      <c r="H16" s="14"/>
      <c r="I16" s="2"/>
    </row>
    <row r="17" spans="1:9" x14ac:dyDescent="0.25">
      <c r="A17" s="2"/>
      <c r="B17" s="83" t="s">
        <v>132</v>
      </c>
      <c r="C17" s="84"/>
      <c r="D17" s="85"/>
      <c r="E17" s="12">
        <f>'Fane 12. Bortfald'!$F$12</f>
        <v>0</v>
      </c>
      <c r="F17" s="9" t="s">
        <v>4</v>
      </c>
      <c r="G17" s="13"/>
      <c r="H17" s="14"/>
      <c r="I17" s="2"/>
    </row>
    <row r="18" spans="1:9" x14ac:dyDescent="0.25">
      <c r="A18" s="2"/>
      <c r="B18" s="34" t="s">
        <v>124</v>
      </c>
      <c r="C18" s="32"/>
      <c r="D18" s="33"/>
      <c r="E18" s="30">
        <v>1.75</v>
      </c>
      <c r="F18" s="9" t="s">
        <v>38</v>
      </c>
      <c r="G18" s="13"/>
      <c r="H18" s="14"/>
      <c r="I18" s="2"/>
    </row>
    <row r="19" spans="1:9" x14ac:dyDescent="0.25">
      <c r="A19" s="2"/>
      <c r="B19" s="92" t="s">
        <v>123</v>
      </c>
      <c r="C19" s="87"/>
      <c r="D19" s="88"/>
      <c r="E19" s="12">
        <f>SUM(E9,E11:E17)*(E18/100)</f>
        <v>1894050.3662825155</v>
      </c>
      <c r="F19" s="9" t="s">
        <v>4</v>
      </c>
      <c r="G19" s="13"/>
      <c r="H19" s="14"/>
      <c r="I19" s="2"/>
    </row>
    <row r="20" spans="1:9" x14ac:dyDescent="0.25">
      <c r="A20" s="2"/>
      <c r="B20" s="86" t="s">
        <v>15</v>
      </c>
      <c r="C20" s="87"/>
      <c r="D20" s="88"/>
      <c r="E20" s="12">
        <f>'Fane 5. Individuelt eff.krav'!G12</f>
        <v>2169519.433034427</v>
      </c>
      <c r="F20" s="9" t="s">
        <v>4</v>
      </c>
      <c r="G20" s="15"/>
      <c r="H20" s="14"/>
      <c r="I20" s="2"/>
    </row>
    <row r="21" spans="1:9" x14ac:dyDescent="0.25">
      <c r="A21" s="2"/>
      <c r="B21" s="86" t="s">
        <v>16</v>
      </c>
      <c r="C21" s="87"/>
      <c r="D21" s="88"/>
      <c r="E21" s="12">
        <f>'Fane 6. Generelt eff.krav'!G17</f>
        <v>2006171.3728210344</v>
      </c>
      <c r="F21" s="9" t="s">
        <v>4</v>
      </c>
      <c r="G21" s="16"/>
      <c r="H21" s="17"/>
      <c r="I21" s="2"/>
    </row>
    <row r="22" spans="1:9" x14ac:dyDescent="0.25">
      <c r="A22" s="2"/>
      <c r="B22" s="93" t="s">
        <v>173</v>
      </c>
      <c r="C22" s="94"/>
      <c r="D22" s="95"/>
      <c r="E22" s="18">
        <f>SUM(E9,E11:E17,E19)-SUM(E20:E21)</f>
        <v>105949809.06228507</v>
      </c>
      <c r="F22" s="19" t="s">
        <v>4</v>
      </c>
      <c r="G22" s="18">
        <f>E22</f>
        <v>105949809.06228507</v>
      </c>
      <c r="H22" s="19" t="s">
        <v>4</v>
      </c>
      <c r="I22" s="2"/>
    </row>
    <row r="23" spans="1:9" x14ac:dyDescent="0.25">
      <c r="A23" s="2"/>
      <c r="B23" s="96" t="s">
        <v>17</v>
      </c>
      <c r="C23" s="97"/>
      <c r="D23" s="97"/>
      <c r="E23" s="97"/>
      <c r="F23" s="97"/>
      <c r="G23" s="97"/>
      <c r="H23" s="98"/>
      <c r="I23" s="2"/>
    </row>
    <row r="24" spans="1:9" x14ac:dyDescent="0.25">
      <c r="A24" s="2"/>
      <c r="B24" s="89" t="s">
        <v>55</v>
      </c>
      <c r="C24" s="90"/>
      <c r="D24" s="91"/>
      <c r="E24" s="18">
        <f>'Fane 7. Hist. over el. underdæk'!G13</f>
        <v>-5514776.5370370373</v>
      </c>
      <c r="F24" s="19" t="s">
        <v>4</v>
      </c>
      <c r="G24" s="18">
        <f>E24</f>
        <v>-5514776.5370370373</v>
      </c>
      <c r="H24" s="19" t="s">
        <v>4</v>
      </c>
      <c r="I24" s="2"/>
    </row>
    <row r="25" spans="1:9" x14ac:dyDescent="0.25">
      <c r="A25" s="2"/>
      <c r="B25" s="96" t="s">
        <v>98</v>
      </c>
      <c r="C25" s="97"/>
      <c r="D25" s="97"/>
      <c r="E25" s="97"/>
      <c r="F25" s="97"/>
      <c r="G25" s="97"/>
      <c r="H25" s="98"/>
      <c r="I25" s="2"/>
    </row>
    <row r="26" spans="1:9" x14ac:dyDescent="0.25">
      <c r="A26" s="2"/>
      <c r="B26" s="83" t="s">
        <v>105</v>
      </c>
      <c r="C26" s="84"/>
      <c r="D26" s="85"/>
      <c r="E26" s="12">
        <f>'Fane 9. Korrektion af PL2016'!G11</f>
        <v>-426181.15999999992</v>
      </c>
      <c r="F26" s="9" t="s">
        <v>4</v>
      </c>
      <c r="G26" s="20"/>
      <c r="H26" s="11"/>
      <c r="I26" s="2"/>
    </row>
    <row r="27" spans="1:9" x14ac:dyDescent="0.25">
      <c r="A27" s="2"/>
      <c r="B27" s="83" t="s">
        <v>99</v>
      </c>
      <c r="C27" s="84"/>
      <c r="D27" s="85"/>
      <c r="E27" s="12">
        <f>'Fane 9. Korrektion af PL2016'!G17</f>
        <v>1401495</v>
      </c>
      <c r="F27" s="9" t="s">
        <v>4</v>
      </c>
      <c r="G27" s="15"/>
      <c r="H27" s="14"/>
      <c r="I27" s="2"/>
    </row>
    <row r="28" spans="1:9" ht="30" customHeight="1" x14ac:dyDescent="0.25">
      <c r="A28" s="2"/>
      <c r="B28" s="83" t="s">
        <v>100</v>
      </c>
      <c r="C28" s="84"/>
      <c r="D28" s="85"/>
      <c r="E28" s="12">
        <f>'Fane 9. Korrektion af PL2016'!G23</f>
        <v>-650000</v>
      </c>
      <c r="F28" s="9" t="s">
        <v>4</v>
      </c>
      <c r="G28" s="13"/>
      <c r="H28" s="14"/>
      <c r="I28" s="2"/>
    </row>
    <row r="29" spans="1:9" ht="30" customHeight="1" x14ac:dyDescent="0.25">
      <c r="A29" s="2"/>
      <c r="B29" s="83" t="s">
        <v>101</v>
      </c>
      <c r="C29" s="84"/>
      <c r="D29" s="85"/>
      <c r="E29" s="12">
        <f>'Fane 9. Korrektion af PL2016'!G29</f>
        <v>0</v>
      </c>
      <c r="F29" s="9" t="s">
        <v>4</v>
      </c>
      <c r="G29" s="15"/>
      <c r="H29" s="14"/>
      <c r="I29" s="2"/>
    </row>
    <row r="30" spans="1:9" ht="28.5" customHeight="1" x14ac:dyDescent="0.25">
      <c r="A30" s="2"/>
      <c r="B30" s="83" t="s">
        <v>102</v>
      </c>
      <c r="C30" s="84"/>
      <c r="D30" s="85"/>
      <c r="E30" s="12">
        <f>'Fane 9. Korrektion af PL2016'!G35</f>
        <v>283999.41000000015</v>
      </c>
      <c r="F30" s="9" t="s">
        <v>4</v>
      </c>
      <c r="G30" s="15"/>
      <c r="H30" s="14"/>
      <c r="I30" s="2"/>
    </row>
    <row r="31" spans="1:9" x14ac:dyDescent="0.25">
      <c r="A31" s="2"/>
      <c r="B31" s="89" t="s">
        <v>103</v>
      </c>
      <c r="C31" s="90"/>
      <c r="D31" s="91"/>
      <c r="E31" s="18">
        <f>SUM(E26:E30)</f>
        <v>609313.25000000023</v>
      </c>
      <c r="F31" s="19" t="s">
        <v>4</v>
      </c>
      <c r="G31" s="18">
        <f>E31</f>
        <v>609313.25000000023</v>
      </c>
      <c r="H31" s="19" t="s">
        <v>4</v>
      </c>
      <c r="I31" s="2"/>
    </row>
    <row r="32" spans="1:9" x14ac:dyDescent="0.25">
      <c r="A32" s="2"/>
      <c r="B32" s="96" t="s">
        <v>18</v>
      </c>
      <c r="C32" s="97"/>
      <c r="D32" s="97"/>
      <c r="E32" s="97"/>
      <c r="F32" s="97"/>
      <c r="G32" s="97"/>
      <c r="H32" s="98"/>
      <c r="I32" s="2"/>
    </row>
    <row r="33" spans="1:9" x14ac:dyDescent="0.25">
      <c r="A33" s="2"/>
      <c r="B33" s="89" t="s">
        <v>104</v>
      </c>
      <c r="C33" s="90"/>
      <c r="D33" s="91"/>
      <c r="E33" s="18">
        <f>'Fane 10. Kontrol af PL2016'!G36</f>
        <v>-595278.87621454895</v>
      </c>
      <c r="F33" s="19" t="s">
        <v>4</v>
      </c>
      <c r="G33" s="18">
        <f>E33</f>
        <v>-595278.87621454895</v>
      </c>
      <c r="H33" s="19" t="s">
        <v>4</v>
      </c>
      <c r="I33" s="2"/>
    </row>
    <row r="34" spans="1:9" x14ac:dyDescent="0.25">
      <c r="A34" s="2"/>
      <c r="B34" s="96" t="s">
        <v>62</v>
      </c>
      <c r="C34" s="97"/>
      <c r="D34" s="97"/>
      <c r="E34" s="97"/>
      <c r="F34" s="98"/>
      <c r="G34" s="21">
        <f>G22+G24+G31+G33</f>
        <v>100449066.89903347</v>
      </c>
      <c r="H34" s="22" t="s">
        <v>4</v>
      </c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26">
    <mergeCell ref="B11:D11"/>
    <mergeCell ref="B31:D31"/>
    <mergeCell ref="B28:D28"/>
    <mergeCell ref="B34:F34"/>
    <mergeCell ref="B19:D19"/>
    <mergeCell ref="B13:D13"/>
    <mergeCell ref="B14:D14"/>
    <mergeCell ref="B16:D16"/>
    <mergeCell ref="B17:D17"/>
    <mergeCell ref="B15:D15"/>
    <mergeCell ref="B3:H4"/>
    <mergeCell ref="B9:D9"/>
    <mergeCell ref="B20:D20"/>
    <mergeCell ref="B33:D33"/>
    <mergeCell ref="B21:D21"/>
    <mergeCell ref="B10:D10"/>
    <mergeCell ref="B22:D22"/>
    <mergeCell ref="B24:D24"/>
    <mergeCell ref="B27:D27"/>
    <mergeCell ref="B29:D29"/>
    <mergeCell ref="B30:D30"/>
    <mergeCell ref="B32:H32"/>
    <mergeCell ref="B25:H25"/>
    <mergeCell ref="B23:H23"/>
    <mergeCell ref="B26:D26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1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108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56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83" t="s">
        <v>106</v>
      </c>
      <c r="C9" s="84"/>
      <c r="D9" s="85"/>
      <c r="E9" s="8">
        <f>'Fane 2.1. Økonomisk ramme 2018'!G22</f>
        <v>105949809.06228507</v>
      </c>
      <c r="F9" s="9" t="s">
        <v>4</v>
      </c>
      <c r="G9" s="10"/>
      <c r="H9" s="11"/>
      <c r="I9" s="2"/>
    </row>
    <row r="10" spans="1:9" x14ac:dyDescent="0.25">
      <c r="A10" s="2"/>
      <c r="B10" s="92" t="s">
        <v>46</v>
      </c>
      <c r="C10" s="99"/>
      <c r="D10" s="100"/>
      <c r="E10" s="12">
        <f>(SUM('Fane 2.1. Økonomisk ramme 2018'!E10:E11,'Fane 2.1. Økonomisk ramme 2018'!E15))*(1+'Fane 2.1. Økonomisk ramme 2018'!E18/100)</f>
        <v>1649528.2164191774</v>
      </c>
      <c r="F10" s="9" t="s">
        <v>4</v>
      </c>
      <c r="G10" s="13"/>
      <c r="H10" s="14"/>
      <c r="I10" s="2"/>
    </row>
    <row r="11" spans="1:9" x14ac:dyDescent="0.25">
      <c r="A11" s="2"/>
      <c r="B11" s="86" t="s">
        <v>61</v>
      </c>
      <c r="C11" s="87"/>
      <c r="D11" s="88"/>
      <c r="E11" s="12">
        <f>$E$9*'Fane 2.1. Økonomisk ramme 2018'!E18/100</f>
        <v>1854121.6585899887</v>
      </c>
      <c r="F11" s="9" t="s">
        <v>4</v>
      </c>
      <c r="G11" s="15"/>
      <c r="H11" s="14"/>
      <c r="I11" s="2"/>
    </row>
    <row r="12" spans="1:9" x14ac:dyDescent="0.25">
      <c r="A12" s="2"/>
      <c r="B12" s="86" t="s">
        <v>15</v>
      </c>
      <c r="C12" s="87"/>
      <c r="D12" s="88"/>
      <c r="E12" s="12">
        <f>($E$9-$E$10)*(1+'Fane 2.1. Økonomisk ramme 2018'!E18/100)*'Fane 5. Individuelt eff.krav'!$G$11/100</f>
        <v>2122510.715213371</v>
      </c>
      <c r="F12" s="9" t="s">
        <v>4</v>
      </c>
      <c r="G12" s="15"/>
      <c r="H12" s="14"/>
      <c r="I12" s="2"/>
    </row>
    <row r="13" spans="1:9" x14ac:dyDescent="0.25">
      <c r="A13" s="2"/>
      <c r="B13" s="31" t="s">
        <v>16</v>
      </c>
      <c r="C13" s="32"/>
      <c r="D13" s="33"/>
      <c r="E13" s="12">
        <f>(('Fane 6. Generelt eff.krav'!G12/('Fane 6. Generelt eff.krav'!G11/100)-'Fane 6. Generelt eff.krav'!G12))*(1+'Fane 2.1. Økonomisk ramme 2018'!E18/100)*'Fane 6. Generelt eff.krav'!G11/100+(('Fane 6. Generelt eff.krav'!G16/('Fane 6. Generelt eff.krav'!G15/100))-'Fane 6. Generelt eff.krav'!G16)*(1+'Fane 2.1. Økonomisk ramme 2018'!E18/100)*'Fane 6. Generelt eff.krav'!G15/100</f>
        <v>2003605.5724950791</v>
      </c>
      <c r="F13" s="9" t="s">
        <v>4</v>
      </c>
      <c r="G13" s="16"/>
      <c r="H13" s="17"/>
      <c r="I13" s="2"/>
    </row>
    <row r="14" spans="1:9" x14ac:dyDescent="0.25">
      <c r="A14" s="2"/>
      <c r="B14" s="93" t="s">
        <v>173</v>
      </c>
      <c r="C14" s="94"/>
      <c r="D14" s="95"/>
      <c r="E14" s="18">
        <f>$E$9+$E$11-$E$12-$E$13</f>
        <v>103677814.43316661</v>
      </c>
      <c r="F14" s="19" t="s">
        <v>4</v>
      </c>
      <c r="G14" s="18">
        <f>E14</f>
        <v>103677814.43316661</v>
      </c>
      <c r="H14" s="19" t="s">
        <v>4</v>
      </c>
      <c r="I14" s="2"/>
    </row>
    <row r="15" spans="1:9" x14ac:dyDescent="0.25">
      <c r="A15" s="2"/>
      <c r="B15" s="96" t="s">
        <v>17</v>
      </c>
      <c r="C15" s="97"/>
      <c r="D15" s="97"/>
      <c r="E15" s="97"/>
      <c r="F15" s="97"/>
      <c r="G15" s="97"/>
      <c r="H15" s="98"/>
      <c r="I15" s="2"/>
    </row>
    <row r="16" spans="1:9" ht="15" customHeight="1" x14ac:dyDescent="0.25">
      <c r="A16" s="2"/>
      <c r="B16" s="89" t="s">
        <v>55</v>
      </c>
      <c r="C16" s="90"/>
      <c r="D16" s="91"/>
      <c r="E16" s="18">
        <f>IF('Fane 7. Hist. over el. underdæk'!$G$12&gt;1,'Fane 7. Hist. over el. underdæk'!$G$13,0)</f>
        <v>-5514776.5370370373</v>
      </c>
      <c r="F16" s="19" t="s">
        <v>4</v>
      </c>
      <c r="G16" s="18">
        <f>E16</f>
        <v>-5514776.5370370373</v>
      </c>
      <c r="H16" s="19" t="s">
        <v>4</v>
      </c>
      <c r="I16" s="2"/>
    </row>
    <row r="17" spans="1:9" x14ac:dyDescent="0.25">
      <c r="A17" s="2"/>
      <c r="B17" s="96" t="s">
        <v>107</v>
      </c>
      <c r="C17" s="97"/>
      <c r="D17" s="97"/>
      <c r="E17" s="97"/>
      <c r="F17" s="98"/>
      <c r="G17" s="21">
        <f>G14+G16</f>
        <v>98163037.896129578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7:F17"/>
    <mergeCell ref="B3:H4"/>
    <mergeCell ref="B8:H8"/>
    <mergeCell ref="B9:D9"/>
    <mergeCell ref="B10:D10"/>
    <mergeCell ref="B11:D11"/>
    <mergeCell ref="B12:D12"/>
    <mergeCell ref="B14:D14"/>
    <mergeCell ref="B15:H15"/>
    <mergeCell ref="B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04" t="s">
        <v>139</v>
      </c>
      <c r="C3" s="104"/>
      <c r="D3" s="104"/>
      <c r="E3" s="104"/>
      <c r="F3" s="104"/>
      <c r="G3" s="104"/>
      <c r="H3" s="104"/>
      <c r="I3" s="2"/>
    </row>
    <row r="4" spans="1:9" ht="29.2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141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86" t="s">
        <v>110</v>
      </c>
      <c r="C9" s="87"/>
      <c r="D9" s="87"/>
      <c r="E9" s="87"/>
      <c r="F9" s="88"/>
      <c r="G9" s="27">
        <v>33064096.328987684</v>
      </c>
      <c r="H9" s="23" t="s">
        <v>4</v>
      </c>
      <c r="I9" s="2"/>
    </row>
    <row r="10" spans="1:9" x14ac:dyDescent="0.25">
      <c r="A10" s="2"/>
      <c r="B10" s="86" t="s">
        <v>111</v>
      </c>
      <c r="C10" s="87"/>
      <c r="D10" s="87"/>
      <c r="E10" s="87"/>
      <c r="F10" s="88"/>
      <c r="G10" s="27">
        <v>75464336.093755111</v>
      </c>
      <c r="H10" s="23" t="s">
        <v>4</v>
      </c>
      <c r="I10" s="2"/>
    </row>
    <row r="11" spans="1:9" x14ac:dyDescent="0.25">
      <c r="A11" s="2"/>
      <c r="B11" s="86" t="s">
        <v>138</v>
      </c>
      <c r="C11" s="87"/>
      <c r="D11" s="87"/>
      <c r="E11" s="87"/>
      <c r="F11" s="88"/>
      <c r="G11" s="27">
        <v>2598426.7893927195</v>
      </c>
      <c r="H11" s="23" t="s">
        <v>4</v>
      </c>
      <c r="I11" s="2"/>
    </row>
    <row r="12" spans="1:9" ht="17.25" customHeight="1" x14ac:dyDescent="0.25">
      <c r="A12" s="2"/>
      <c r="B12" s="101" t="s">
        <v>143</v>
      </c>
      <c r="C12" s="102"/>
      <c r="D12" s="102"/>
      <c r="E12" s="102"/>
      <c r="F12" s="103"/>
      <c r="G12" s="21">
        <f>SUM(G9:G11)</f>
        <v>111126859.21213552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tabSelected="1" view="pageLayout" zoomScaleNormal="100" workbookViewId="0">
      <selection activeCell="G18" sqref="G18"/>
    </sheetView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112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113</v>
      </c>
      <c r="C8" s="97"/>
      <c r="D8" s="97"/>
      <c r="E8" s="97"/>
      <c r="F8" s="97"/>
      <c r="G8" s="97"/>
      <c r="H8" s="98"/>
      <c r="I8" s="2"/>
    </row>
    <row r="9" spans="1:9" ht="51.75" customHeight="1" x14ac:dyDescent="0.25">
      <c r="A9" s="2"/>
      <c r="B9" s="89" t="s">
        <v>115</v>
      </c>
      <c r="C9" s="90"/>
      <c r="D9" s="91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105" t="s">
        <v>159</v>
      </c>
      <c r="C10" s="106"/>
      <c r="D10" s="106"/>
      <c r="E10" s="56">
        <v>0</v>
      </c>
      <c r="F10" s="23" t="s">
        <v>4</v>
      </c>
      <c r="G10" s="27">
        <v>0</v>
      </c>
      <c r="H10" s="23" t="s">
        <v>4</v>
      </c>
      <c r="I10" s="2"/>
    </row>
    <row r="11" spans="1:9" x14ac:dyDescent="0.25">
      <c r="A11" s="2"/>
      <c r="B11" s="105" t="s">
        <v>160</v>
      </c>
      <c r="C11" s="106"/>
      <c r="D11" s="106"/>
      <c r="E11" s="56">
        <v>89858.236199999999</v>
      </c>
      <c r="F11" s="23" t="s">
        <v>4</v>
      </c>
      <c r="G11" s="27">
        <v>82875</v>
      </c>
      <c r="H11" s="23" t="s">
        <v>4</v>
      </c>
      <c r="I11" s="2"/>
    </row>
    <row r="12" spans="1:9" x14ac:dyDescent="0.25">
      <c r="A12" s="2"/>
      <c r="B12" s="105" t="s">
        <v>161</v>
      </c>
      <c r="C12" s="106"/>
      <c r="D12" s="106"/>
      <c r="E12" s="56">
        <v>0</v>
      </c>
      <c r="F12" s="23" t="s">
        <v>4</v>
      </c>
      <c r="G12" s="27">
        <v>0</v>
      </c>
      <c r="H12" s="23" t="s">
        <v>4</v>
      </c>
      <c r="I12" s="2"/>
    </row>
    <row r="13" spans="1:9" x14ac:dyDescent="0.25">
      <c r="A13" s="2"/>
      <c r="B13" s="105" t="s">
        <v>162</v>
      </c>
      <c r="C13" s="106"/>
      <c r="D13" s="106"/>
      <c r="E13" s="56">
        <v>32399.4126</v>
      </c>
      <c r="F13" s="23" t="s">
        <v>4</v>
      </c>
      <c r="G13" s="27">
        <v>50990.84</v>
      </c>
      <c r="H13" s="23" t="s">
        <v>4</v>
      </c>
      <c r="I13" s="2"/>
    </row>
    <row r="14" spans="1:9" x14ac:dyDescent="0.25">
      <c r="A14" s="2"/>
      <c r="B14" s="105" t="s">
        <v>163</v>
      </c>
      <c r="C14" s="106"/>
      <c r="D14" s="106"/>
      <c r="E14" s="56">
        <v>0</v>
      </c>
      <c r="F14" s="23" t="s">
        <v>4</v>
      </c>
      <c r="G14" s="27">
        <v>0</v>
      </c>
      <c r="H14" s="23" t="s">
        <v>4</v>
      </c>
      <c r="I14" s="2"/>
    </row>
    <row r="15" spans="1:9" x14ac:dyDescent="0.25">
      <c r="A15" s="2"/>
      <c r="B15" s="105" t="s">
        <v>164</v>
      </c>
      <c r="C15" s="106"/>
      <c r="D15" s="106"/>
      <c r="E15" s="56">
        <v>1600084.4856</v>
      </c>
      <c r="F15" s="23" t="s">
        <v>4</v>
      </c>
      <c r="G15" s="27">
        <v>1471514</v>
      </c>
      <c r="H15" s="23" t="s">
        <v>4</v>
      </c>
      <c r="I15" s="2"/>
    </row>
    <row r="16" spans="1:9" x14ac:dyDescent="0.25">
      <c r="A16" s="2"/>
      <c r="B16" s="105" t="s">
        <v>165</v>
      </c>
      <c r="C16" s="106"/>
      <c r="D16" s="106"/>
      <c r="E16" s="56">
        <v>843498.47919999994</v>
      </c>
      <c r="F16" s="23" t="s">
        <v>4</v>
      </c>
      <c r="G16" s="27">
        <v>0</v>
      </c>
      <c r="H16" s="23" t="s">
        <v>4</v>
      </c>
      <c r="I16" s="2"/>
    </row>
    <row r="17" spans="1:9" x14ac:dyDescent="0.25">
      <c r="A17" s="2"/>
      <c r="B17" s="105" t="s">
        <v>166</v>
      </c>
      <c r="C17" s="106"/>
      <c r="D17" s="106"/>
      <c r="E17" s="56">
        <v>0</v>
      </c>
      <c r="F17" s="23" t="s">
        <v>4</v>
      </c>
      <c r="G17" s="27">
        <v>0</v>
      </c>
      <c r="H17" s="23" t="s">
        <v>4</v>
      </c>
      <c r="I17" s="2"/>
    </row>
    <row r="18" spans="1:9" x14ac:dyDescent="0.25">
      <c r="A18" s="2"/>
      <c r="B18" s="96" t="s">
        <v>134</v>
      </c>
      <c r="C18" s="97"/>
      <c r="D18" s="97"/>
      <c r="E18" s="97"/>
      <c r="F18" s="98"/>
      <c r="G18" s="21">
        <f>SUM(G10:G17)-SUM(E10:E17)</f>
        <v>-960460.77359999972</v>
      </c>
      <c r="H18" s="22" t="s">
        <v>4</v>
      </c>
      <c r="I18" s="2"/>
    </row>
    <row r="19" spans="1:9" x14ac:dyDescent="0.25">
      <c r="A19" s="2"/>
      <c r="B19" s="96" t="s">
        <v>135</v>
      </c>
      <c r="C19" s="97"/>
      <c r="D19" s="97"/>
      <c r="E19" s="97"/>
      <c r="F19" s="98"/>
      <c r="G19" s="21">
        <f>G18*(1+'Fane 2.1. Økonomisk ramme 2018'!E18/100)</f>
        <v>-977268.83713799983</v>
      </c>
      <c r="H19" s="22" t="s">
        <v>4</v>
      </c>
      <c r="I19" s="2"/>
    </row>
    <row r="20" spans="1:9" x14ac:dyDescent="0.25">
      <c r="A20" s="2"/>
      <c r="B20" s="25"/>
      <c r="C20" s="24"/>
      <c r="D20" s="24"/>
      <c r="E20" s="24"/>
      <c r="F20" s="24"/>
      <c r="G20" s="24"/>
      <c r="H20" s="24"/>
      <c r="I20" s="2"/>
    </row>
    <row r="21" spans="1:9" x14ac:dyDescent="0.25">
      <c r="A21" s="2"/>
      <c r="B21" s="24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"/>
      <c r="C22" s="2"/>
      <c r="D22" s="2"/>
      <c r="E22" s="2"/>
      <c r="F22" s="2"/>
      <c r="G22" s="24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71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15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86" t="s">
        <v>51</v>
      </c>
      <c r="C9" s="87"/>
      <c r="D9" s="87"/>
      <c r="E9" s="87"/>
      <c r="F9" s="88"/>
      <c r="G9" s="12">
        <f>'Fane 3. Korrigeret grundlag'!G12-'Fane 3. Korrigeret grundlag'!G11+SUM('Fane 2.1. Økonomisk ramme 2018'!E13:E14,'Fane 2.1. Økonomisk ramme 2018'!E16:E17)</f>
        <v>108528432.4227428</v>
      </c>
      <c r="H9" s="23" t="s">
        <v>4</v>
      </c>
      <c r="I9" s="2"/>
    </row>
    <row r="10" spans="1:9" x14ac:dyDescent="0.25">
      <c r="A10" s="2"/>
      <c r="B10" s="51" t="s">
        <v>182</v>
      </c>
      <c r="C10" s="49"/>
      <c r="D10" s="49"/>
      <c r="E10" s="49"/>
      <c r="F10" s="50"/>
      <c r="G10" s="12">
        <v>-1918140.8731395192</v>
      </c>
      <c r="H10" s="23" t="s">
        <v>4</v>
      </c>
      <c r="I10" s="2"/>
    </row>
    <row r="11" spans="1:9" x14ac:dyDescent="0.25">
      <c r="A11" s="2"/>
      <c r="B11" s="86" t="s">
        <v>37</v>
      </c>
      <c r="C11" s="87"/>
      <c r="D11" s="87"/>
      <c r="E11" s="87"/>
      <c r="F11" s="88"/>
      <c r="G11" s="29">
        <v>2</v>
      </c>
      <c r="H11" s="23" t="s">
        <v>38</v>
      </c>
      <c r="I11" s="2"/>
    </row>
    <row r="12" spans="1:9" x14ac:dyDescent="0.25">
      <c r="A12" s="2"/>
      <c r="B12" s="96" t="s">
        <v>15</v>
      </c>
      <c r="C12" s="97"/>
      <c r="D12" s="97"/>
      <c r="E12" s="97"/>
      <c r="F12" s="98"/>
      <c r="G12" s="21">
        <f>($G$9+G10)*(1+'Fane 2.1. Økonomisk ramme 2018'!E18/100)*($G$11/100)</f>
        <v>2169519.433034427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72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53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107" t="s">
        <v>47</v>
      </c>
      <c r="C9" s="108"/>
      <c r="D9" s="108"/>
      <c r="E9" s="108"/>
      <c r="F9" s="109"/>
      <c r="G9" s="12">
        <f>'Fane 3. Korrigeret grundlag'!G9+(SUM('Fane 2.1. Økonomisk ramme 2018'!E13,'Fane 2.1. Økonomisk ramme 2018'!E16))</f>
        <v>33064096.328987684</v>
      </c>
      <c r="H9" s="23" t="s">
        <v>4</v>
      </c>
      <c r="I9" s="2"/>
    </row>
    <row r="10" spans="1:9" x14ac:dyDescent="0.25">
      <c r="A10" s="2"/>
      <c r="B10" s="52" t="s">
        <v>181</v>
      </c>
      <c r="C10" s="53"/>
      <c r="D10" s="53"/>
      <c r="E10" s="53"/>
      <c r="F10" s="54"/>
      <c r="G10" s="12">
        <v>-661281.92000000004</v>
      </c>
      <c r="H10" s="23" t="s">
        <v>4</v>
      </c>
      <c r="I10" s="2"/>
    </row>
    <row r="11" spans="1:9" x14ac:dyDescent="0.25">
      <c r="A11" s="2"/>
      <c r="B11" s="86" t="s">
        <v>16</v>
      </c>
      <c r="C11" s="87"/>
      <c r="D11" s="87"/>
      <c r="E11" s="87"/>
      <c r="F11" s="88"/>
      <c r="G11" s="37">
        <f>2</f>
        <v>2</v>
      </c>
      <c r="H11" s="23" t="s">
        <v>38</v>
      </c>
      <c r="I11" s="2"/>
    </row>
    <row r="12" spans="1:9" x14ac:dyDescent="0.25">
      <c r="A12" s="2"/>
      <c r="B12" s="93" t="s">
        <v>39</v>
      </c>
      <c r="C12" s="94"/>
      <c r="D12" s="94"/>
      <c r="E12" s="94"/>
      <c r="F12" s="95"/>
      <c r="G12" s="18">
        <f>($G$9+$G$10)*(1+'Fane 2.1. Økonomisk ramme 2018'!E18/100)*$G$11/100</f>
        <v>659397.27322289941</v>
      </c>
      <c r="H12" s="38" t="s">
        <v>4</v>
      </c>
      <c r="I12" s="2"/>
    </row>
    <row r="13" spans="1:9" x14ac:dyDescent="0.25">
      <c r="A13" s="2"/>
      <c r="B13" s="86" t="s">
        <v>48</v>
      </c>
      <c r="C13" s="87"/>
      <c r="D13" s="87"/>
      <c r="E13" s="87"/>
      <c r="F13" s="88"/>
      <c r="G13" s="12">
        <f xml:space="preserve"> 'Fane 3. Korrigeret grundlag'!G10+SUM('Fane 2.1. Økonomisk ramme 2018'!E14,'Fane 2.1. Økonomisk ramme 2018'!E17)</f>
        <v>75464336.093755111</v>
      </c>
      <c r="H13" s="23" t="s">
        <v>4</v>
      </c>
      <c r="I13" s="2"/>
    </row>
    <row r="14" spans="1:9" x14ac:dyDescent="0.25">
      <c r="A14" s="2"/>
      <c r="B14" s="51" t="s">
        <v>183</v>
      </c>
      <c r="C14" s="49"/>
      <c r="D14" s="49"/>
      <c r="E14" s="49"/>
      <c r="F14" s="50"/>
      <c r="G14" s="12">
        <v>-684058.76630000002</v>
      </c>
      <c r="H14" s="23" t="s">
        <v>4</v>
      </c>
      <c r="I14" s="2"/>
    </row>
    <row r="15" spans="1:9" x14ac:dyDescent="0.25">
      <c r="A15" s="2"/>
      <c r="B15" s="86" t="s">
        <v>16</v>
      </c>
      <c r="C15" s="87"/>
      <c r="D15" s="87"/>
      <c r="E15" s="87"/>
      <c r="F15" s="88"/>
      <c r="G15" s="30">
        <v>1.77</v>
      </c>
      <c r="H15" s="23" t="s">
        <v>38</v>
      </c>
      <c r="I15" s="2"/>
    </row>
    <row r="16" spans="1:9" x14ac:dyDescent="0.25">
      <c r="A16" s="2"/>
      <c r="B16" s="93" t="s">
        <v>40</v>
      </c>
      <c r="C16" s="94"/>
      <c r="D16" s="94"/>
      <c r="E16" s="94"/>
      <c r="F16" s="95"/>
      <c r="G16" s="18">
        <f>($G$13+$G$14)*(1+'Fane 2.1. Økonomisk ramme 2018'!E18/100)*$G$15/100</f>
        <v>1346774.0995981351</v>
      </c>
      <c r="H16" s="38" t="s">
        <v>4</v>
      </c>
      <c r="I16" s="2"/>
    </row>
    <row r="17" spans="1:9" x14ac:dyDescent="0.25">
      <c r="A17" s="2"/>
      <c r="B17" s="96" t="s">
        <v>52</v>
      </c>
      <c r="C17" s="97"/>
      <c r="D17" s="97"/>
      <c r="E17" s="97"/>
      <c r="F17" s="98"/>
      <c r="G17" s="21">
        <f>G12+G16</f>
        <v>2006171.3728210344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73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54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86" t="s">
        <v>42</v>
      </c>
      <c r="C9" s="87"/>
      <c r="D9" s="87"/>
      <c r="E9" s="87"/>
      <c r="F9" s="88"/>
      <c r="G9" s="27">
        <v>-54645080</v>
      </c>
      <c r="H9" s="23" t="s">
        <v>4</v>
      </c>
      <c r="I9" s="2"/>
    </row>
    <row r="10" spans="1:9" x14ac:dyDescent="0.25">
      <c r="A10" s="2"/>
      <c r="B10" s="86" t="s">
        <v>120</v>
      </c>
      <c r="C10" s="87"/>
      <c r="D10" s="87"/>
      <c r="E10" s="87"/>
      <c r="F10" s="88"/>
      <c r="G10" s="27">
        <v>-38100750.388888888</v>
      </c>
      <c r="H10" s="23" t="s">
        <v>4</v>
      </c>
      <c r="I10" s="2"/>
    </row>
    <row r="11" spans="1:9" x14ac:dyDescent="0.25">
      <c r="A11" s="2"/>
      <c r="B11" s="110" t="s">
        <v>45</v>
      </c>
      <c r="C11" s="111"/>
      <c r="D11" s="111"/>
      <c r="E11" s="111"/>
      <c r="F11" s="112"/>
      <c r="G11" s="57">
        <f>G9-G10</f>
        <v>-16544329.611111112</v>
      </c>
      <c r="H11" s="39" t="s">
        <v>4</v>
      </c>
      <c r="I11" s="2"/>
    </row>
    <row r="12" spans="1:9" x14ac:dyDescent="0.25">
      <c r="A12" s="2"/>
      <c r="B12" s="86" t="s">
        <v>43</v>
      </c>
      <c r="C12" s="87"/>
      <c r="D12" s="87"/>
      <c r="E12" s="87"/>
      <c r="F12" s="88"/>
      <c r="G12" s="27">
        <v>3</v>
      </c>
      <c r="H12" s="23" t="s">
        <v>125</v>
      </c>
      <c r="I12" s="2"/>
    </row>
    <row r="13" spans="1:9" x14ac:dyDescent="0.25">
      <c r="A13" s="2"/>
      <c r="B13" s="96" t="s">
        <v>41</v>
      </c>
      <c r="C13" s="97"/>
      <c r="D13" s="97"/>
      <c r="E13" s="97"/>
      <c r="F13" s="98"/>
      <c r="G13" s="21">
        <f>IF(G12 = 0,0,G11/G12)</f>
        <v>-5514776.5370370373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9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74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6" t="s">
        <v>75</v>
      </c>
      <c r="C8" s="97"/>
      <c r="D8" s="97"/>
      <c r="E8" s="97"/>
      <c r="F8" s="97"/>
      <c r="G8" s="98"/>
      <c r="H8" s="2"/>
    </row>
    <row r="9" spans="1:8" ht="39" customHeight="1" x14ac:dyDescent="0.25">
      <c r="A9" s="2"/>
      <c r="B9" s="40" t="s">
        <v>0</v>
      </c>
      <c r="C9" s="19" t="s">
        <v>1</v>
      </c>
      <c r="D9" s="40" t="s">
        <v>2</v>
      </c>
      <c r="E9" s="40" t="s">
        <v>44</v>
      </c>
      <c r="F9" s="113" t="s">
        <v>3</v>
      </c>
      <c r="G9" s="113"/>
      <c r="H9" s="2"/>
    </row>
    <row r="10" spans="1:8" x14ac:dyDescent="0.25">
      <c r="A10" s="2"/>
      <c r="B10" s="47" t="s">
        <v>146</v>
      </c>
      <c r="C10" s="41">
        <v>2016</v>
      </c>
      <c r="D10" s="28">
        <v>60</v>
      </c>
      <c r="E10" s="27">
        <v>215247</v>
      </c>
      <c r="F10" s="12">
        <f>E10/D10</f>
        <v>3587.45</v>
      </c>
      <c r="G10" s="23" t="s">
        <v>4</v>
      </c>
      <c r="H10" s="2"/>
    </row>
    <row r="11" spans="1:8" x14ac:dyDescent="0.25">
      <c r="A11" s="2"/>
      <c r="B11" s="47" t="s">
        <v>147</v>
      </c>
      <c r="C11" s="41">
        <v>2016</v>
      </c>
      <c r="D11" s="28">
        <v>20</v>
      </c>
      <c r="E11" s="27">
        <v>2172177</v>
      </c>
      <c r="F11" s="12">
        <f t="shared" ref="F11:F24" si="0">E11/D11</f>
        <v>108608.85</v>
      </c>
      <c r="G11" s="23" t="s">
        <v>4</v>
      </c>
      <c r="H11" s="2"/>
    </row>
    <row r="12" spans="1:8" x14ac:dyDescent="0.25">
      <c r="A12" s="2"/>
      <c r="B12" s="47" t="s">
        <v>148</v>
      </c>
      <c r="C12" s="41">
        <v>2016</v>
      </c>
      <c r="D12" s="28">
        <v>10</v>
      </c>
      <c r="E12" s="27">
        <v>251679</v>
      </c>
      <c r="F12" s="12">
        <f t="shared" si="0"/>
        <v>25167.9</v>
      </c>
      <c r="G12" s="23" t="s">
        <v>4</v>
      </c>
      <c r="H12" s="2"/>
    </row>
    <row r="13" spans="1:8" x14ac:dyDescent="0.25">
      <c r="A13" s="2"/>
      <c r="B13" s="47" t="s">
        <v>149</v>
      </c>
      <c r="C13" s="41">
        <v>2016</v>
      </c>
      <c r="D13" s="28">
        <v>75</v>
      </c>
      <c r="E13" s="27">
        <v>33609897</v>
      </c>
      <c r="F13" s="12">
        <f t="shared" si="0"/>
        <v>448131.96</v>
      </c>
      <c r="G13" s="23" t="s">
        <v>4</v>
      </c>
      <c r="H13" s="2"/>
    </row>
    <row r="14" spans="1:8" x14ac:dyDescent="0.25">
      <c r="A14" s="2"/>
      <c r="B14" s="47" t="s">
        <v>150</v>
      </c>
      <c r="C14" s="41">
        <v>2016</v>
      </c>
      <c r="D14" s="28">
        <v>75</v>
      </c>
      <c r="E14" s="27">
        <v>1508270</v>
      </c>
      <c r="F14" s="12">
        <f t="shared" si="0"/>
        <v>20110.266666666666</v>
      </c>
      <c r="G14" s="23" t="s">
        <v>4</v>
      </c>
      <c r="H14" s="2"/>
    </row>
    <row r="15" spans="1:8" ht="26.25" x14ac:dyDescent="0.25">
      <c r="A15" s="2"/>
      <c r="B15" s="47" t="s">
        <v>151</v>
      </c>
      <c r="C15" s="41">
        <v>2016</v>
      </c>
      <c r="D15" s="28">
        <v>50</v>
      </c>
      <c r="E15" s="27">
        <v>7305871</v>
      </c>
      <c r="F15" s="12">
        <f t="shared" si="0"/>
        <v>146117.42000000001</v>
      </c>
      <c r="G15" s="23" t="s">
        <v>4</v>
      </c>
      <c r="H15" s="2"/>
    </row>
    <row r="16" spans="1:8" ht="26.25" x14ac:dyDescent="0.25">
      <c r="A16" s="2"/>
      <c r="B16" s="47" t="s">
        <v>152</v>
      </c>
      <c r="C16" s="41">
        <v>2016</v>
      </c>
      <c r="D16" s="28">
        <v>20</v>
      </c>
      <c r="E16" s="27">
        <v>1899871</v>
      </c>
      <c r="F16" s="12">
        <f t="shared" si="0"/>
        <v>94993.55</v>
      </c>
      <c r="G16" s="23" t="s">
        <v>4</v>
      </c>
      <c r="H16" s="2"/>
    </row>
    <row r="17" spans="1:8" x14ac:dyDescent="0.25">
      <c r="A17" s="2"/>
      <c r="B17" s="47" t="s">
        <v>153</v>
      </c>
      <c r="C17" s="41">
        <v>2016</v>
      </c>
      <c r="D17" s="28">
        <v>10</v>
      </c>
      <c r="E17" s="27">
        <v>3385495</v>
      </c>
      <c r="F17" s="12">
        <f t="shared" si="0"/>
        <v>338549.5</v>
      </c>
      <c r="G17" s="23" t="s">
        <v>4</v>
      </c>
      <c r="H17" s="2"/>
    </row>
    <row r="18" spans="1:8" x14ac:dyDescent="0.25">
      <c r="A18" s="2"/>
      <c r="B18" s="47" t="s">
        <v>154</v>
      </c>
      <c r="C18" s="41">
        <v>2016</v>
      </c>
      <c r="D18" s="28">
        <v>5</v>
      </c>
      <c r="E18" s="27">
        <v>1144864</v>
      </c>
      <c r="F18" s="12">
        <f t="shared" si="0"/>
        <v>228972.79999999999</v>
      </c>
      <c r="G18" s="23" t="s">
        <v>4</v>
      </c>
      <c r="H18" s="2"/>
    </row>
    <row r="19" spans="1:8" x14ac:dyDescent="0.25">
      <c r="A19" s="2"/>
      <c r="B19" s="47" t="s">
        <v>155</v>
      </c>
      <c r="C19" s="41">
        <v>2016</v>
      </c>
      <c r="D19" s="28">
        <v>75</v>
      </c>
      <c r="E19" s="27">
        <v>27241</v>
      </c>
      <c r="F19" s="12">
        <f t="shared" si="0"/>
        <v>363.21333333333331</v>
      </c>
      <c r="G19" s="23" t="s">
        <v>4</v>
      </c>
      <c r="H19" s="2"/>
    </row>
    <row r="20" spans="1:8" x14ac:dyDescent="0.25">
      <c r="A20" s="2"/>
      <c r="B20" s="47" t="s">
        <v>156</v>
      </c>
      <c r="C20" s="41">
        <v>2016</v>
      </c>
      <c r="D20" s="28">
        <v>10</v>
      </c>
      <c r="E20" s="27">
        <v>21793</v>
      </c>
      <c r="F20" s="12">
        <f t="shared" si="0"/>
        <v>2179.3000000000002</v>
      </c>
      <c r="G20" s="23" t="s">
        <v>4</v>
      </c>
      <c r="H20" s="2"/>
    </row>
    <row r="21" spans="1:8" x14ac:dyDescent="0.25">
      <c r="A21" s="2"/>
      <c r="B21" s="47" t="s">
        <v>157</v>
      </c>
      <c r="C21" s="41">
        <v>2016</v>
      </c>
      <c r="D21" s="28">
        <v>20</v>
      </c>
      <c r="E21" s="27">
        <v>1531310</v>
      </c>
      <c r="F21" s="12">
        <f t="shared" si="0"/>
        <v>76565.5</v>
      </c>
      <c r="G21" s="23" t="s">
        <v>4</v>
      </c>
      <c r="H21" s="2"/>
    </row>
    <row r="22" spans="1:8" ht="39" x14ac:dyDescent="0.25">
      <c r="A22" s="2"/>
      <c r="B22" s="47" t="s">
        <v>158</v>
      </c>
      <c r="C22" s="41">
        <v>2016</v>
      </c>
      <c r="D22" s="28">
        <v>50</v>
      </c>
      <c r="E22" s="27">
        <v>2636910</v>
      </c>
      <c r="F22" s="12">
        <f t="shared" si="0"/>
        <v>52738.2</v>
      </c>
      <c r="G22" s="23" t="s">
        <v>4</v>
      </c>
      <c r="H22" s="2"/>
    </row>
    <row r="23" spans="1:8" ht="26.25" x14ac:dyDescent="0.25">
      <c r="A23" s="2"/>
      <c r="B23" s="47" t="s">
        <v>151</v>
      </c>
      <c r="C23" s="41">
        <v>2016</v>
      </c>
      <c r="D23" s="28">
        <v>50</v>
      </c>
      <c r="E23" s="27">
        <v>2218158</v>
      </c>
      <c r="F23" s="12">
        <f t="shared" si="0"/>
        <v>44363.16</v>
      </c>
      <c r="G23" s="23" t="s">
        <v>4</v>
      </c>
      <c r="H23" s="2"/>
    </row>
    <row r="24" spans="1:8" ht="26.25" x14ac:dyDescent="0.25">
      <c r="A24" s="2"/>
      <c r="B24" s="47" t="s">
        <v>152</v>
      </c>
      <c r="C24" s="41">
        <v>2016</v>
      </c>
      <c r="D24" s="28">
        <v>20</v>
      </c>
      <c r="E24" s="27">
        <v>2126218</v>
      </c>
      <c r="F24" s="12">
        <f t="shared" si="0"/>
        <v>106310.9</v>
      </c>
      <c r="G24" s="23" t="s">
        <v>4</v>
      </c>
      <c r="H24" s="2"/>
    </row>
    <row r="25" spans="1:8" x14ac:dyDescent="0.25">
      <c r="A25" s="2"/>
      <c r="B25" s="96" t="s">
        <v>76</v>
      </c>
      <c r="C25" s="97"/>
      <c r="D25" s="97"/>
      <c r="E25" s="98"/>
      <c r="F25" s="21">
        <f>SUM(F10:F24)</f>
        <v>1696759.9700000002</v>
      </c>
      <c r="G25" s="22" t="s">
        <v>4</v>
      </c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</sheetData>
  <sheetProtection password="DFE9" sheet="1" objects="1" scenarios="1"/>
  <mergeCells count="4">
    <mergeCell ref="B25:E25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2017-09-29T11:26:19Z</dcterms:modified>
</cp:coreProperties>
</file>