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32" i="11" l="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9" i="2" s="1"/>
  <c r="E15" i="13"/>
  <c r="F11" i="11"/>
  <c r="F33" i="11"/>
  <c r="E16" i="15" l="1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34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<sst xmlns="http://schemas.openxmlformats.org/spreadsheetml/2006/main" count="379" uniqueCount="194">
  <si>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</si>
  <si>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</si>
  <si>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</si>
  <si>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</si>
  <si>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</si>
  <si>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</si>
  <si>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</si>
  <si>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</si>
  <si>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</si>
  <si>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</si>
  <si>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</si>
  <si>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</si>
  <si>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</si>
  <si>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</si>
  <si>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</si>
  <si>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</si>
  <si>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</si>
  <si>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</si>
  <si>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</si>
  <si>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</si>
  <si>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</si>
  <si>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</si>
  <si>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</si>
  <si>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</si>
  <si>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</si>
  <si>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</si>
  <si>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</si>
  <si>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</si>
  <si>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</si>
  <si>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</si>
  <si>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</si>
  <si>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</si>
  <si>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</si>
  <si>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</si>
  <si>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</si>
  <si>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</si>
  <si>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</si>
  <si>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</si>
  <si>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</si>
  <si>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</si>
  <si>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</si>
  <si>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</si>
  <si>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</si>
  <si>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</si>
  <si>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</si>
  <si>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</si>
  <si>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</si>
  <si>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</si>
  <si>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</si>
  <si>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</si>
  <si>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</si>
  <si>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</si>
  <si>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</si>
  <si>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</si>
  <si>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</si>
  <si>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</si>
  <si>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</si>
  <si>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</si>
  <si>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</si>
  <si>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</si>
  <si>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</si>
  <si>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</si>
  <si>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</si>
  <si>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</si>
  <si>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</si>
  <si>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</si>
  <si>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</si>
  <si>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</si>
  <si>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</si>
  <si>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</si>
  <si>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</si>
  <si>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</si>
  <si>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</si>
  <si>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</si>
  <si>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</si>
  <si>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</si>
  <si>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</si>
  <si>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</si>
  <si>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</si>
  <si>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</si>
  <si>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</si>
  <si>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</si>
  <si>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</si>
  <si>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</si>
  <si>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</si>
  <si>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</si>
  <si>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</si>
  <si>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</si>
  <si>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</si>
  <si>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</si>
  <si>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</si>
  <si>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</si>
  <si>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</si>
  <si>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</si>
  <si>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</si>
  <si>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</si>
  <si>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</si>
  <si>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</si>
  <si>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</si>
  <si>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</si>
  <si>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</si>
  <si>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</si>
  <si>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</si>
  <si>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</si>
  <si>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</si>
  <si>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</si>
  <si>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</si>
  <si>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</si>
  <si>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</si>
  <si>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</si>
  <si>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</si>
  <si>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</si>
  <si>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</si>
  <si>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</si>
  <si>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</si>
  <si>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</si>
  <si>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</si>
  <si>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</si>
  <si>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</si>
  <si>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</si>
  <si>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</si>
  <si>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</si>
  <si>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</si>
  <si>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</si>
  <si>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</si>
  <si>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</si>
  <si>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</si>
  <si>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</si>
  <si>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</si>
  <si>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</si>
  <si>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</si>
  <si>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</si>
  <si>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</si>
  <si>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</si>
  <si>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</si>
  <si>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</si>
  <si>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</si>
  <si>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</si>
  <si>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</si>
  <si>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</si>
  <si>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</si>
  <si>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</si>
  <si>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</si>
  <si>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</si>
  <si>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</si>
  <si>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</si>
  <si>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Afregningsmålere, elektroniske &gt;Ø110 mm</t>
  </si>
  <si>
    <t>Afregningsmålere, elektroniske &gt;Ø110 mm Qn10</t>
  </si>
  <si>
    <t>Brønde</t>
  </si>
  <si>
    <t>Stik</t>
  </si>
  <si>
    <t>Administrationbygninger</t>
  </si>
  <si>
    <t>Arbejdsplads</t>
  </si>
  <si>
    <t>Jordbassin Klasse A</t>
  </si>
  <si>
    <t>Ledningsnet ≤ Ø 200 mm</t>
  </si>
  <si>
    <t>Indløb-/udløbsarrangement</t>
  </si>
  <si>
    <t>Strømpeforing Ø 200 mm &lt; Ledningsnet ≤ Ø 500 mm</t>
  </si>
  <si>
    <t>Ø 200 mm &lt; Ledningsnet ≤ Ø 500 mm</t>
  </si>
  <si>
    <t>Ø 500 mm &lt; Ledningsnet ≤ Ø 800 mm</t>
  </si>
  <si>
    <t>Pumpestationer i brønde (&lt; 6,25 m2), Konstruktioner</t>
  </si>
  <si>
    <t>Pumpestationer i brønde (&lt; 6,25 m2), Mek/EL</t>
  </si>
  <si>
    <t>Pumpestationer i brønde (&lt; 6,25 m2), SRO</t>
  </si>
  <si>
    <t>Tryksatte minipumpestationer (husstandssystemer)</t>
  </si>
  <si>
    <t>Strømpeforing ≤ Ø 200 mm</t>
  </si>
  <si>
    <t>Pumpestationer m. overbygning (&lt; 20 m2), Konstruktioner</t>
  </si>
  <si>
    <t>Pumpestationer m. overbygning (&lt; 20 m2), Mek/EL</t>
  </si>
  <si>
    <t>Pumpestationer m. overbygning (&lt; 20 m2), SRO</t>
  </si>
  <si>
    <t>Pumpeinstallation Miljøklasse A (100-300 l/s) - Mek/EL</t>
  </si>
  <si>
    <t>Pumpeinstallation Miljøklasse A (100-300 l/s) - SRO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</si>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</sst>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183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86" t="s">
        <v>78</v>
      </c>
      <c r="C9" s="87"/>
      <c r="D9" s="87"/>
      <c r="E9" s="87"/>
      <c r="F9" s="88"/>
      <c r="G9" s="27">
        <v>3190020</v>
      </c>
      <c r="H9" s="23" t="s">
        <v>4</v>
      </c>
      <c r="I9" s="2"/>
    </row>
    <row r="10" spans="1:9" x14ac:dyDescent="0.25">
      <c r="A10" s="2"/>
      <c r="B10" s="86" t="s">
        <v>79</v>
      </c>
      <c r="C10" s="87"/>
      <c r="D10" s="87"/>
      <c r="E10" s="87"/>
      <c r="F10" s="88"/>
      <c r="G10" s="27">
        <v>2036200</v>
      </c>
      <c r="H10" s="23" t="s">
        <v>4</v>
      </c>
      <c r="I10" s="2"/>
    </row>
    <row r="11" spans="1:9" x14ac:dyDescent="0.25">
      <c r="A11" s="2"/>
      <c r="B11" s="96" t="s">
        <v>184</v>
      </c>
      <c r="C11" s="97"/>
      <c r="D11" s="97"/>
      <c r="E11" s="97"/>
      <c r="F11" s="98"/>
      <c r="G11" s="21">
        <f>G9-G10</f>
        <v>1153820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185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86" t="s">
        <v>80</v>
      </c>
      <c r="C15" s="87"/>
      <c r="D15" s="87"/>
      <c r="E15" s="87"/>
      <c r="F15" s="88"/>
      <c r="G15" s="27">
        <v>884215</v>
      </c>
      <c r="H15" s="23" t="s">
        <v>4</v>
      </c>
      <c r="I15" s="2"/>
    </row>
    <row r="16" spans="1:9" x14ac:dyDescent="0.25">
      <c r="A16" s="2"/>
      <c r="B16" s="86" t="s">
        <v>81</v>
      </c>
      <c r="C16" s="87"/>
      <c r="D16" s="87"/>
      <c r="E16" s="87"/>
      <c r="F16" s="88"/>
      <c r="G16" s="27">
        <v>1130000</v>
      </c>
      <c r="H16" s="23" t="s">
        <v>4</v>
      </c>
      <c r="I16" s="2"/>
    </row>
    <row r="17" spans="1:9" x14ac:dyDescent="0.25">
      <c r="A17" s="2"/>
      <c r="B17" s="96" t="s">
        <v>185</v>
      </c>
      <c r="C17" s="97"/>
      <c r="D17" s="97"/>
      <c r="E17" s="97"/>
      <c r="F17" s="98"/>
      <c r="G17" s="21">
        <f>G15-G16</f>
        <v>-245785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186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86" t="s">
        <v>82</v>
      </c>
      <c r="C21" s="87"/>
      <c r="D21" s="87"/>
      <c r="E21" s="87"/>
      <c r="F21" s="88"/>
      <c r="G21" s="27">
        <v>586055</v>
      </c>
      <c r="H21" s="23" t="s">
        <v>4</v>
      </c>
      <c r="I21" s="2"/>
    </row>
    <row r="22" spans="1:9" x14ac:dyDescent="0.25">
      <c r="A22" s="2"/>
      <c r="B22" s="86" t="s">
        <v>83</v>
      </c>
      <c r="C22" s="87"/>
      <c r="D22" s="87"/>
      <c r="E22" s="87"/>
      <c r="F22" s="88"/>
      <c r="G22" s="27">
        <v>295000</v>
      </c>
      <c r="H22" s="23" t="s">
        <v>4</v>
      </c>
      <c r="I22" s="2"/>
    </row>
    <row r="23" spans="1:9" x14ac:dyDescent="0.25">
      <c r="A23" s="2"/>
      <c r="B23" s="96" t="s">
        <v>186</v>
      </c>
      <c r="C23" s="97"/>
      <c r="D23" s="97"/>
      <c r="E23" s="97"/>
      <c r="F23" s="98"/>
      <c r="G23" s="21">
        <f>G21-G22</f>
        <v>291055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187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3" t="s">
        <v>84</v>
      </c>
      <c r="C27" s="84"/>
      <c r="D27" s="84"/>
      <c r="E27" s="84"/>
      <c r="F27" s="85"/>
      <c r="G27" s="27">
        <v>0</v>
      </c>
      <c r="H27" s="23" t="s">
        <v>4</v>
      </c>
      <c r="I27" s="2"/>
    </row>
    <row r="28" spans="1:9" x14ac:dyDescent="0.25">
      <c r="A28" s="2"/>
      <c r="B28" s="86" t="s">
        <v>85</v>
      </c>
      <c r="C28" s="87"/>
      <c r="D28" s="87"/>
      <c r="E28" s="87"/>
      <c r="F28" s="88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187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86" t="s">
        <v>87</v>
      </c>
      <c r="C33" s="87"/>
      <c r="D33" s="87"/>
      <c r="E33" s="87"/>
      <c r="F33" s="88"/>
      <c r="G33" s="12">
        <f>'Fane 8. Gen. inv. i 2016'!F34</f>
        <v>1021344.0971000001</v>
      </c>
      <c r="H33" s="23" t="s">
        <v>4</v>
      </c>
      <c r="I33" s="2"/>
    </row>
    <row r="34" spans="1:9" x14ac:dyDescent="0.25">
      <c r="A34" s="2"/>
      <c r="B34" s="86" t="s">
        <v>88</v>
      </c>
      <c r="C34" s="87"/>
      <c r="D34" s="87"/>
      <c r="E34" s="87"/>
      <c r="F34" s="88"/>
      <c r="G34" s="27">
        <v>1052333.3333333333</v>
      </c>
      <c r="H34" s="23" t="s">
        <v>4</v>
      </c>
      <c r="I34" s="2"/>
    </row>
    <row r="35" spans="1:9" x14ac:dyDescent="0.25">
      <c r="A35" s="2"/>
      <c r="B35" s="96" t="s">
        <v>86</v>
      </c>
      <c r="C35" s="97"/>
      <c r="D35" s="97"/>
      <c r="E35" s="97"/>
      <c r="F35" s="98"/>
      <c r="G35" s="21">
        <f>G33-G34</f>
        <v>-30989.236233333126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90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93" t="s">
        <v>91</v>
      </c>
      <c r="C9" s="94"/>
      <c r="D9" s="94"/>
      <c r="E9" s="94"/>
      <c r="F9" s="95"/>
      <c r="G9" s="26">
        <v>72990635.293402731</v>
      </c>
      <c r="H9" s="38" t="s">
        <v>4</v>
      </c>
      <c r="I9" s="2"/>
    </row>
    <row r="10" spans="1:9" x14ac:dyDescent="0.25">
      <c r="A10" s="2"/>
      <c r="B10" s="96" t="s">
        <v>92</v>
      </c>
      <c r="C10" s="97"/>
      <c r="D10" s="97"/>
      <c r="E10" s="97"/>
      <c r="F10" s="97"/>
      <c r="G10" s="97"/>
      <c r="H10" s="98"/>
      <c r="I10" s="2"/>
    </row>
    <row r="11" spans="1:9" x14ac:dyDescent="0.25">
      <c r="A11" s="2"/>
      <c r="B11" s="86" t="s">
        <v>19</v>
      </c>
      <c r="C11" s="87"/>
      <c r="D11" s="88"/>
      <c r="E11" s="27">
        <v>47313338</v>
      </c>
      <c r="F11" s="23" t="s">
        <v>4</v>
      </c>
      <c r="G11" s="20"/>
      <c r="H11" s="42"/>
      <c r="I11" s="2"/>
    </row>
    <row r="12" spans="1:9" x14ac:dyDescent="0.25">
      <c r="A12" s="2"/>
      <c r="B12" s="86" t="s">
        <v>93</v>
      </c>
      <c r="C12" s="87"/>
      <c r="D12" s="88"/>
      <c r="E12" s="27">
        <v>4175243</v>
      </c>
      <c r="F12" s="23" t="s">
        <v>4</v>
      </c>
      <c r="G12" s="15"/>
      <c r="H12" s="43"/>
      <c r="I12" s="2"/>
    </row>
    <row r="13" spans="1:9" x14ac:dyDescent="0.25">
      <c r="A13" s="2"/>
      <c r="B13" s="86" t="s">
        <v>94</v>
      </c>
      <c r="C13" s="87"/>
      <c r="D13" s="88"/>
      <c r="E13" s="27">
        <v>-524053</v>
      </c>
      <c r="F13" s="23" t="s">
        <v>4</v>
      </c>
      <c r="G13" s="15"/>
      <c r="H13" s="43"/>
      <c r="I13" s="2"/>
    </row>
    <row r="14" spans="1:9" x14ac:dyDescent="0.25">
      <c r="A14" s="2"/>
      <c r="B14" s="86" t="s">
        <v>95</v>
      </c>
      <c r="C14" s="87"/>
      <c r="D14" s="88"/>
      <c r="E14" s="27">
        <v>2297401.4946666667</v>
      </c>
      <c r="F14" s="23" t="s">
        <v>4</v>
      </c>
      <c r="G14" s="15"/>
      <c r="H14" s="43"/>
      <c r="I14" s="2"/>
    </row>
    <row r="15" spans="1:9" x14ac:dyDescent="0.25">
      <c r="A15" s="2"/>
      <c r="B15" s="93" t="s">
        <v>20</v>
      </c>
      <c r="C15" s="94"/>
      <c r="D15" s="95"/>
      <c r="E15" s="18">
        <f>SUM(E11:E14)</f>
        <v>53261929.494666666</v>
      </c>
      <c r="F15" s="38" t="s">
        <v>4</v>
      </c>
      <c r="G15" s="15"/>
      <c r="H15" s="43"/>
      <c r="I15" s="2"/>
    </row>
    <row r="16" spans="1:9" x14ac:dyDescent="0.25">
      <c r="A16" s="2"/>
      <c r="B16" s="86" t="s">
        <v>21</v>
      </c>
      <c r="C16" s="87"/>
      <c r="D16" s="88"/>
      <c r="E16" s="27">
        <v>17111916</v>
      </c>
      <c r="F16" s="23" t="s">
        <v>4</v>
      </c>
      <c r="G16" s="15"/>
      <c r="H16" s="43"/>
      <c r="I16" s="2"/>
    </row>
    <row r="17" spans="1:9" x14ac:dyDescent="0.25">
      <c r="A17" s="2"/>
      <c r="B17" s="86" t="s">
        <v>22</v>
      </c>
      <c r="C17" s="87"/>
      <c r="D17" s="88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86" t="s">
        <v>23</v>
      </c>
      <c r="C18" s="87"/>
      <c r="D18" s="88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3" t="s">
        <v>24</v>
      </c>
      <c r="C19" s="94"/>
      <c r="D19" s="95"/>
      <c r="E19" s="18">
        <f>SUM(E16:E18)</f>
        <v>17111916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3" t="s">
        <v>25</v>
      </c>
      <c r="C20" s="84"/>
      <c r="D20" s="85"/>
      <c r="E20" s="27">
        <v>-9570451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3" t="s">
        <v>26</v>
      </c>
      <c r="C21" s="84"/>
      <c r="D21" s="85"/>
      <c r="E21" s="27">
        <v>-37139977</v>
      </c>
      <c r="F21" s="23" t="s">
        <v>4</v>
      </c>
      <c r="G21" s="15"/>
      <c r="H21" s="43"/>
      <c r="I21" s="2"/>
    </row>
    <row r="22" spans="1:9" x14ac:dyDescent="0.25">
      <c r="A22" s="2"/>
      <c r="B22" s="86" t="s">
        <v>27</v>
      </c>
      <c r="C22" s="87"/>
      <c r="D22" s="88"/>
      <c r="E22" s="27">
        <v>-9508897</v>
      </c>
      <c r="F22" s="23" t="s">
        <v>4</v>
      </c>
      <c r="G22" s="15"/>
      <c r="H22" s="43"/>
      <c r="I22" s="2"/>
    </row>
    <row r="23" spans="1:9" x14ac:dyDescent="0.25">
      <c r="A23" s="2"/>
      <c r="B23" s="86" t="s">
        <v>28</v>
      </c>
      <c r="C23" s="87"/>
      <c r="D23" s="88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3" t="s">
        <v>29</v>
      </c>
      <c r="C24" s="84"/>
      <c r="D24" s="85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3" t="s">
        <v>30</v>
      </c>
      <c r="C25" s="84"/>
      <c r="D25" s="85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3" t="s">
        <v>31</v>
      </c>
      <c r="C26" s="84"/>
      <c r="D26" s="85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3" t="s">
        <v>32</v>
      </c>
      <c r="C27" s="94"/>
      <c r="D27" s="95"/>
      <c r="E27" s="18">
        <f>SUM(E20:E26)</f>
        <v>-56219325</v>
      </c>
      <c r="F27" s="38" t="s">
        <v>4</v>
      </c>
      <c r="G27" s="16"/>
      <c r="H27" s="44"/>
      <c r="I27" s="2"/>
    </row>
    <row r="28" spans="1:9" x14ac:dyDescent="0.25">
      <c r="A28" s="2"/>
      <c r="B28" s="93" t="s">
        <v>33</v>
      </c>
      <c r="C28" s="94"/>
      <c r="D28" s="95"/>
      <c r="E28" s="18">
        <f>E15+E19+E27</f>
        <v>14154520.494666666</v>
      </c>
      <c r="F28" s="38" t="s">
        <v>4</v>
      </c>
      <c r="G28" s="1">
        <f>IF(E28&lt;0,0,-E28)</f>
        <v>-14154520.494666666</v>
      </c>
      <c r="H28" s="38" t="s">
        <v>4</v>
      </c>
      <c r="I28" s="2"/>
    </row>
    <row r="29" spans="1:9" x14ac:dyDescent="0.25">
      <c r="A29" s="2"/>
      <c r="B29" s="96" t="s">
        <v>96</v>
      </c>
      <c r="C29" s="97"/>
      <c r="D29" s="97"/>
      <c r="E29" s="97"/>
      <c r="F29" s="97"/>
      <c r="G29" s="97"/>
      <c r="H29" s="98"/>
      <c r="I29" s="2"/>
    </row>
    <row r="30" spans="1:9" x14ac:dyDescent="0.25">
      <c r="A30" s="2"/>
      <c r="B30" s="93" t="s">
        <v>96</v>
      </c>
      <c r="C30" s="94"/>
      <c r="D30" s="95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4" t="s">
        <v>57</v>
      </c>
      <c r="C31" s="97"/>
      <c r="D31" s="97"/>
      <c r="E31" s="97"/>
      <c r="F31" s="97"/>
      <c r="G31" s="97"/>
      <c r="H31" s="98"/>
      <c r="I31" s="2"/>
    </row>
    <row r="32" spans="1:9" ht="30" customHeight="1" x14ac:dyDescent="0.25">
      <c r="A32" s="2"/>
      <c r="B32" s="83" t="s">
        <v>58</v>
      </c>
      <c r="C32" s="84"/>
      <c r="D32" s="85"/>
      <c r="E32" s="27">
        <v>58618892</v>
      </c>
      <c r="F32" s="23" t="s">
        <v>4</v>
      </c>
      <c r="G32" s="20"/>
      <c r="H32" s="42"/>
      <c r="I32" s="2"/>
    </row>
    <row r="33" spans="1:9" x14ac:dyDescent="0.25">
      <c r="A33" s="2"/>
      <c r="B33" s="86" t="s">
        <v>34</v>
      </c>
      <c r="C33" s="87"/>
      <c r="D33" s="88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3" t="s">
        <v>35</v>
      </c>
      <c r="C34" s="84"/>
      <c r="D34" s="85"/>
      <c r="E34" s="27">
        <v>2959491</v>
      </c>
      <c r="F34" s="23" t="s">
        <v>4</v>
      </c>
      <c r="G34" s="16"/>
      <c r="H34" s="44"/>
      <c r="I34" s="2"/>
    </row>
    <row r="35" spans="1:9" x14ac:dyDescent="0.25">
      <c r="A35" s="2"/>
      <c r="B35" s="93" t="s">
        <v>36</v>
      </c>
      <c r="C35" s="94"/>
      <c r="D35" s="95"/>
      <c r="E35" s="18">
        <f>SUM(E32:E34)</f>
        <v>61578383</v>
      </c>
      <c r="F35" s="38" t="s">
        <v>4</v>
      </c>
      <c r="G35" s="18">
        <f>-E35</f>
        <v>-61578383</v>
      </c>
      <c r="H35" s="38" t="s">
        <v>4</v>
      </c>
      <c r="I35" s="2"/>
    </row>
    <row r="36" spans="1:9" x14ac:dyDescent="0.25">
      <c r="A36" s="2"/>
      <c r="B36" s="96" t="s">
        <v>97</v>
      </c>
      <c r="C36" s="97"/>
      <c r="D36" s="97"/>
      <c r="E36" s="97"/>
      <c r="F36" s="98"/>
      <c r="G36" s="21">
        <f>$G$9+$G$28+$G$30+$G$35</f>
        <v>-2742268.2012639344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126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180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89" t="s">
        <v>116</v>
      </c>
      <c r="C9" s="91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181</v>
      </c>
      <c r="C10" s="116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133</v>
      </c>
      <c r="C11" s="97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6" t="s">
        <v>145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6" t="s">
        <v>176</v>
      </c>
      <c r="C15" s="97"/>
      <c r="D15" s="97"/>
      <c r="E15" s="97"/>
      <c r="F15" s="97"/>
      <c r="G15" s="98"/>
      <c r="H15" s="2"/>
    </row>
    <row r="16" spans="1:8" ht="15" customHeight="1" x14ac:dyDescent="0.25">
      <c r="A16" s="2"/>
      <c r="B16" s="89" t="s">
        <v>193</v>
      </c>
      <c r="C16" s="90"/>
      <c r="D16" s="90"/>
      <c r="E16" s="91"/>
      <c r="F16" s="113" t="s">
        <v>177</v>
      </c>
      <c r="G16" s="113"/>
      <c r="H16" s="2"/>
    </row>
    <row r="17" spans="1:8" x14ac:dyDescent="0.25">
      <c r="A17" s="2"/>
      <c r="B17" s="86" t="s">
        <v>189</v>
      </c>
      <c r="C17" s="87"/>
      <c r="D17" s="87"/>
      <c r="E17" s="88"/>
      <c r="F17" s="27">
        <v>0</v>
      </c>
      <c r="G17" s="23" t="s">
        <v>4</v>
      </c>
      <c r="H17" s="2"/>
    </row>
    <row r="18" spans="1:8" x14ac:dyDescent="0.25">
      <c r="A18" s="2"/>
      <c r="B18" s="96" t="s">
        <v>178</v>
      </c>
      <c r="C18" s="97"/>
      <c r="D18" s="97"/>
      <c r="E18" s="98"/>
      <c r="F18" s="21">
        <f>SUM(F17:F17)</f>
        <v>0</v>
      </c>
      <c r="G18" s="22" t="s">
        <v>4</v>
      </c>
      <c r="H18" s="2"/>
    </row>
    <row r="19" spans="1:8" x14ac:dyDescent="0.25">
      <c r="A19" s="2"/>
      <c r="B19" s="96" t="s">
        <v>179</v>
      </c>
      <c r="C19" s="97"/>
      <c r="D19" s="97"/>
      <c r="E19" s="98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117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45" t="s">
        <v>119</v>
      </c>
      <c r="C9" s="46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5" t="s">
        <v>188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128</v>
      </c>
      <c r="C11" s="98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6" t="s">
        <v>144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109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ht="15" customHeight="1" x14ac:dyDescent="0.25">
      <c r="A9" s="2"/>
      <c r="B9" s="83" t="s">
        <v>60</v>
      </c>
      <c r="C9" s="84"/>
      <c r="D9" s="85"/>
      <c r="E9" s="8">
        <f>'Fane 3. Korrigeret grundlag'!G12</f>
        <v>74866326.479953691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87"/>
      <c r="D10" s="88"/>
      <c r="E10" s="12">
        <f>'Fane 3. Korrigeret grundlag'!G11</f>
        <v>2085718.2466073197</v>
      </c>
      <c r="F10" s="9" t="s">
        <v>4</v>
      </c>
      <c r="G10" s="13"/>
      <c r="H10" s="14"/>
      <c r="I10" s="2"/>
    </row>
    <row r="11" spans="1:9" x14ac:dyDescent="0.25">
      <c r="A11" s="2"/>
      <c r="B11" s="92" t="s">
        <v>121</v>
      </c>
      <c r="C11" s="87"/>
      <c r="D11" s="88"/>
      <c r="E11" s="12">
        <f>'Fane 4. Ikke-påvirkelige omk.'!G19</f>
        <v>1066278.1241970002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191</v>
      </c>
      <c r="C12" s="49"/>
      <c r="D12" s="50"/>
      <c r="E12" s="12">
        <f>'Fane 5. Individuelt eff.krav'!G10</f>
        <v>-1226761.5711256396</v>
      </c>
      <c r="F12" s="9" t="s">
        <v>4</v>
      </c>
      <c r="G12" s="13"/>
      <c r="H12" s="14"/>
      <c r="I12" s="2"/>
    </row>
    <row r="13" spans="1:9" x14ac:dyDescent="0.25">
      <c r="A13" s="2"/>
      <c r="B13" s="83" t="s">
        <v>129</v>
      </c>
      <c r="C13" s="84"/>
      <c r="D13" s="85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3" t="s">
        <v>130</v>
      </c>
      <c r="C14" s="84"/>
      <c r="D14" s="85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3" t="s">
        <v>176</v>
      </c>
      <c r="C15" s="84"/>
      <c r="D15" s="85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3" t="s">
        <v>131</v>
      </c>
      <c r="C16" s="84"/>
      <c r="D16" s="85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3" t="s">
        <v>132</v>
      </c>
      <c r="C17" s="84"/>
      <c r="D17" s="85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92" t="s">
        <v>123</v>
      </c>
      <c r="C19" s="87"/>
      <c r="D19" s="88"/>
      <c r="E19" s="12">
        <f>SUM(E9,E11:E17)*(E18/100)</f>
        <v>1307352.2530779387</v>
      </c>
      <c r="F19" s="9" t="s">
        <v>4</v>
      </c>
      <c r="G19" s="13"/>
      <c r="H19" s="14"/>
      <c r="I19" s="2"/>
    </row>
    <row r="20" spans="1:9" x14ac:dyDescent="0.25">
      <c r="A20" s="2"/>
      <c r="B20" s="86" t="s">
        <v>15</v>
      </c>
      <c r="C20" s="87"/>
      <c r="D20" s="88"/>
      <c r="E20" s="12">
        <f>'Fane 5. Individuelt eff.krav'!G12</f>
        <v>34931.315650743709</v>
      </c>
      <c r="F20" s="9" t="s">
        <v>4</v>
      </c>
      <c r="G20" s="15"/>
      <c r="H20" s="14"/>
      <c r="I20" s="2"/>
    </row>
    <row r="21" spans="1:9" x14ac:dyDescent="0.25">
      <c r="A21" s="2"/>
      <c r="B21" s="86" t="s">
        <v>16</v>
      </c>
      <c r="C21" s="87"/>
      <c r="D21" s="88"/>
      <c r="E21" s="12">
        <f>'Fane 6. Generelt eff.krav'!G17</f>
        <v>1326697.8251617127</v>
      </c>
      <c r="F21" s="9" t="s">
        <v>4</v>
      </c>
      <c r="G21" s="16"/>
      <c r="H21" s="17"/>
      <c r="I21" s="2"/>
    </row>
    <row r="22" spans="1:9" x14ac:dyDescent="0.25">
      <c r="A22" s="2"/>
      <c r="B22" s="93" t="s">
        <v>182</v>
      </c>
      <c r="C22" s="94"/>
      <c r="D22" s="95"/>
      <c r="E22" s="18">
        <f>SUM(E9,E11:E17,E19)-SUM(E20:E21)</f>
        <v>74651566.145290539</v>
      </c>
      <c r="F22" s="19" t="s">
        <v>4</v>
      </c>
      <c r="G22" s="18">
        <f>E22</f>
        <v>74651566.145290539</v>
      </c>
      <c r="H22" s="19" t="s">
        <v>4</v>
      </c>
      <c r="I22" s="2"/>
    </row>
    <row r="23" spans="1:9" x14ac:dyDescent="0.25">
      <c r="A23" s="2"/>
      <c r="B23" s="96" t="s">
        <v>17</v>
      </c>
      <c r="C23" s="97"/>
      <c r="D23" s="97"/>
      <c r="E23" s="97"/>
      <c r="F23" s="97"/>
      <c r="G23" s="97"/>
      <c r="H23" s="98"/>
      <c r="I23" s="2"/>
    </row>
    <row r="24" spans="1:9" x14ac:dyDescent="0.25">
      <c r="A24" s="2"/>
      <c r="B24" s="89" t="s">
        <v>55</v>
      </c>
      <c r="C24" s="90"/>
      <c r="D24" s="91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6" t="s">
        <v>98</v>
      </c>
      <c r="C25" s="97"/>
      <c r="D25" s="97"/>
      <c r="E25" s="97"/>
      <c r="F25" s="97"/>
      <c r="G25" s="97"/>
      <c r="H25" s="98"/>
      <c r="I25" s="2"/>
    </row>
    <row r="26" spans="1:9" x14ac:dyDescent="0.25">
      <c r="A26" s="2"/>
      <c r="B26" s="83" t="s">
        <v>105</v>
      </c>
      <c r="C26" s="84"/>
      <c r="D26" s="85"/>
      <c r="E26" s="12">
        <f>'Fane 9. Korrektion af PL2016'!G11</f>
        <v>1153820</v>
      </c>
      <c r="F26" s="9" t="s">
        <v>4</v>
      </c>
      <c r="G26" s="20"/>
      <c r="H26" s="11"/>
      <c r="I26" s="2"/>
    </row>
    <row r="27" spans="1:9" x14ac:dyDescent="0.25">
      <c r="A27" s="2"/>
      <c r="B27" s="83" t="s">
        <v>99</v>
      </c>
      <c r="C27" s="84"/>
      <c r="D27" s="85"/>
      <c r="E27" s="12">
        <f>'Fane 9. Korrektion af PL2016'!G17</f>
        <v>-245785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3" t="s">
        <v>100</v>
      </c>
      <c r="C28" s="84"/>
      <c r="D28" s="85"/>
      <c r="E28" s="12">
        <f>'Fane 9. Korrektion af PL2016'!G23</f>
        <v>291055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3" t="s">
        <v>101</v>
      </c>
      <c r="C29" s="84"/>
      <c r="D29" s="85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3" t="s">
        <v>102</v>
      </c>
      <c r="C30" s="84"/>
      <c r="D30" s="85"/>
      <c r="E30" s="12">
        <f>'Fane 9. Korrektion af PL2016'!G35</f>
        <v>-30989.236233333126</v>
      </c>
      <c r="F30" s="9" t="s">
        <v>4</v>
      </c>
      <c r="G30" s="15"/>
      <c r="H30" s="14"/>
      <c r="I30" s="2"/>
    </row>
    <row r="31" spans="1:9" x14ac:dyDescent="0.25">
      <c r="A31" s="2"/>
      <c r="B31" s="89" t="s">
        <v>103</v>
      </c>
      <c r="C31" s="90"/>
      <c r="D31" s="91"/>
      <c r="E31" s="18">
        <f>SUM(E26:E30)</f>
        <v>1168100.7637666669</v>
      </c>
      <c r="F31" s="19" t="s">
        <v>4</v>
      </c>
      <c r="G31" s="18">
        <f>E31</f>
        <v>1168100.7637666669</v>
      </c>
      <c r="H31" s="19" t="s">
        <v>4</v>
      </c>
      <c r="I31" s="2"/>
    </row>
    <row r="32" spans="1:9" x14ac:dyDescent="0.25">
      <c r="A32" s="2"/>
      <c r="B32" s="96" t="s">
        <v>18</v>
      </c>
      <c r="C32" s="97"/>
      <c r="D32" s="97"/>
      <c r="E32" s="97"/>
      <c r="F32" s="97"/>
      <c r="G32" s="97"/>
      <c r="H32" s="98"/>
      <c r="I32" s="2"/>
    </row>
    <row r="33" spans="1:9" x14ac:dyDescent="0.25">
      <c r="A33" s="2"/>
      <c r="B33" s="89" t="s">
        <v>104</v>
      </c>
      <c r="C33" s="90"/>
      <c r="D33" s="91"/>
      <c r="E33" s="18">
        <f>'Fane 10. Kontrol af PL2016'!G36</f>
        <v>-2742268.2012639344</v>
      </c>
      <c r="F33" s="19" t="s">
        <v>4</v>
      </c>
      <c r="G33" s="18">
        <f>E33</f>
        <v>-2742268.2012639344</v>
      </c>
      <c r="H33" s="19" t="s">
        <v>4</v>
      </c>
      <c r="I33" s="2"/>
    </row>
    <row r="34" spans="1:9" x14ac:dyDescent="0.25">
      <c r="A34" s="2"/>
      <c r="B34" s="96" t="s">
        <v>62</v>
      </c>
      <c r="C34" s="97"/>
      <c r="D34" s="97"/>
      <c r="E34" s="97"/>
      <c r="F34" s="98"/>
      <c r="G34" s="21">
        <f>G22+G24+G31+G33</f>
        <v>73077398.707793266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3" t="s">
        <v>106</v>
      </c>
      <c r="C9" s="84"/>
      <c r="D9" s="85"/>
      <c r="E9" s="8">
        <f>'Fane 2.1. Økonomisk ramme 2018'!G22</f>
        <v>74651566.145290539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99"/>
      <c r="D10" s="100"/>
      <c r="E10" s="12">
        <f>(SUM('Fane 2.1. Økonomisk ramme 2018'!E10:E11,'Fane 2.1. Økonomisk ramme 2018'!E15))*(1+'Fane 2.1. Økonomisk ramme 2018'!E18/100)</f>
        <v>3207156.307293396</v>
      </c>
      <c r="F10" s="9" t="s">
        <v>4</v>
      </c>
      <c r="G10" s="13"/>
      <c r="H10" s="14"/>
      <c r="I10" s="2"/>
    </row>
    <row r="11" spans="1:9" x14ac:dyDescent="0.25">
      <c r="A11" s="2"/>
      <c r="B11" s="86" t="s">
        <v>61</v>
      </c>
      <c r="C11" s="87"/>
      <c r="D11" s="88"/>
      <c r="E11" s="12">
        <f>$E$9*'Fane 2.1. Økonomisk ramme 2018'!E18/100</f>
        <v>1306402.4075425845</v>
      </c>
      <c r="F11" s="9" t="s">
        <v>4</v>
      </c>
      <c r="G11" s="15"/>
      <c r="H11" s="14"/>
      <c r="I11" s="2"/>
    </row>
    <row r="12" spans="1:9" x14ac:dyDescent="0.25">
      <c r="A12" s="2"/>
      <c r="B12" s="86" t="s">
        <v>15</v>
      </c>
      <c r="C12" s="87"/>
      <c r="D12" s="88"/>
      <c r="E12" s="12">
        <f>($E$9-$E$10)*(1+'Fane 2.1. Økonomisk ramme 2018'!E18/100)*'Fane 5. Individuelt eff.krav'!$G$11/100</f>
        <v>34877.890539039865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1325403.6364957804</v>
      </c>
      <c r="F13" s="9" t="s">
        <v>4</v>
      </c>
      <c r="G13" s="16"/>
      <c r="H13" s="17"/>
      <c r="I13" s="2"/>
    </row>
    <row r="14" spans="1:9" x14ac:dyDescent="0.25">
      <c r="A14" s="2"/>
      <c r="B14" s="93" t="s">
        <v>182</v>
      </c>
      <c r="C14" s="94"/>
      <c r="D14" s="95"/>
      <c r="E14" s="18">
        <f>$E$9+$E$11-$E$12-$E$13</f>
        <v>74597687.025798306</v>
      </c>
      <c r="F14" s="19" t="s">
        <v>4</v>
      </c>
      <c r="G14" s="18">
        <f>E14</f>
        <v>74597687.025798306</v>
      </c>
      <c r="H14" s="19" t="s">
        <v>4</v>
      </c>
      <c r="I14" s="2"/>
    </row>
    <row r="15" spans="1:9" x14ac:dyDescent="0.25">
      <c r="A15" s="2"/>
      <c r="B15" s="96" t="s">
        <v>17</v>
      </c>
      <c r="C15" s="97"/>
      <c r="D15" s="97"/>
      <c r="E15" s="97"/>
      <c r="F15" s="97"/>
      <c r="G15" s="97"/>
      <c r="H15" s="98"/>
      <c r="I15" s="2"/>
    </row>
    <row r="16" spans="1:9" ht="15" customHeight="1" x14ac:dyDescent="0.25">
      <c r="A16" s="2"/>
      <c r="B16" s="89" t="s">
        <v>55</v>
      </c>
      <c r="C16" s="90"/>
      <c r="D16" s="91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6" t="s">
        <v>107</v>
      </c>
      <c r="C17" s="97"/>
      <c r="D17" s="97"/>
      <c r="E17" s="97"/>
      <c r="F17" s="98"/>
      <c r="G17" s="21">
        <f>G14+G16</f>
        <v>74597687.025798306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141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110</v>
      </c>
      <c r="C9" s="87"/>
      <c r="D9" s="87"/>
      <c r="E9" s="87"/>
      <c r="F9" s="88"/>
      <c r="G9" s="27">
        <v>13233536.4215097</v>
      </c>
      <c r="H9" s="23" t="s">
        <v>4</v>
      </c>
      <c r="I9" s="2"/>
    </row>
    <row r="10" spans="1:9" x14ac:dyDescent="0.25">
      <c r="A10" s="2"/>
      <c r="B10" s="86" t="s">
        <v>111</v>
      </c>
      <c r="C10" s="87"/>
      <c r="D10" s="87"/>
      <c r="E10" s="87"/>
      <c r="F10" s="88"/>
      <c r="G10" s="27">
        <v>59547071.811836675</v>
      </c>
      <c r="H10" s="23" t="s">
        <v>4</v>
      </c>
      <c r="I10" s="2"/>
    </row>
    <row r="11" spans="1:9" x14ac:dyDescent="0.25">
      <c r="A11" s="2"/>
      <c r="B11" s="86" t="s">
        <v>138</v>
      </c>
      <c r="C11" s="87"/>
      <c r="D11" s="87"/>
      <c r="E11" s="87"/>
      <c r="F11" s="88"/>
      <c r="G11" s="27">
        <v>2085718.2466073197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74866326.479953691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113</v>
      </c>
      <c r="C8" s="97"/>
      <c r="D8" s="97"/>
      <c r="E8" s="97"/>
      <c r="F8" s="97"/>
      <c r="G8" s="97"/>
      <c r="H8" s="98"/>
      <c r="I8" s="2"/>
    </row>
    <row r="9" spans="1:9" ht="51.75" customHeight="1" x14ac:dyDescent="0.25">
      <c r="A9" s="2"/>
      <c r="B9" s="89" t="s">
        <v>115</v>
      </c>
      <c r="C9" s="90"/>
      <c r="D9" s="91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168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169</v>
      </c>
      <c r="C11" s="106"/>
      <c r="D11" s="106"/>
      <c r="E11" s="56">
        <v>47832.542999999998</v>
      </c>
      <c r="F11" s="23" t="s">
        <v>4</v>
      </c>
      <c r="G11" s="27">
        <v>71519</v>
      </c>
      <c r="H11" s="23" t="s">
        <v>4</v>
      </c>
      <c r="I11" s="2"/>
    </row>
    <row r="12" spans="1:9" x14ac:dyDescent="0.25">
      <c r="A12" s="2"/>
      <c r="B12" s="105" t="s">
        <v>170</v>
      </c>
      <c r="C12" s="106"/>
      <c r="D12" s="106"/>
      <c r="E12" s="56">
        <v>1726836.9887999999</v>
      </c>
      <c r="F12" s="23" t="s">
        <v>4</v>
      </c>
      <c r="G12" s="27">
        <v>2840398</v>
      </c>
      <c r="H12" s="23" t="s">
        <v>4</v>
      </c>
      <c r="I12" s="2"/>
    </row>
    <row r="13" spans="1:9" x14ac:dyDescent="0.25">
      <c r="A13" s="2"/>
      <c r="B13" s="105" t="s">
        <v>171</v>
      </c>
      <c r="C13" s="106"/>
      <c r="D13" s="106"/>
      <c r="E13" s="56">
        <v>32399.4126</v>
      </c>
      <c r="F13" s="23" t="s">
        <v>4</v>
      </c>
      <c r="G13" s="27">
        <v>57516</v>
      </c>
      <c r="H13" s="23" t="s">
        <v>4</v>
      </c>
      <c r="I13" s="2"/>
    </row>
    <row r="14" spans="1:9" x14ac:dyDescent="0.25">
      <c r="A14" s="2"/>
      <c r="B14" s="105" t="s">
        <v>172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173</v>
      </c>
      <c r="C15" s="106"/>
      <c r="D15" s="106"/>
      <c r="E15" s="56">
        <v>0</v>
      </c>
      <c r="F15" s="23" t="s">
        <v>4</v>
      </c>
      <c r="G15" s="27">
        <v>0</v>
      </c>
      <c r="H15" s="23" t="s">
        <v>4</v>
      </c>
      <c r="I15" s="2"/>
    </row>
    <row r="16" spans="1:9" x14ac:dyDescent="0.25">
      <c r="A16" s="2"/>
      <c r="B16" s="105" t="s">
        <v>174</v>
      </c>
      <c r="C16" s="106"/>
      <c r="D16" s="106"/>
      <c r="E16" s="56">
        <v>252492.86720000001</v>
      </c>
      <c r="F16" s="23" t="s">
        <v>4</v>
      </c>
      <c r="G16" s="27">
        <v>138068</v>
      </c>
      <c r="H16" s="23" t="s">
        <v>4</v>
      </c>
      <c r="I16" s="2"/>
    </row>
    <row r="17" spans="1:9" x14ac:dyDescent="0.25">
      <c r="A17" s="2"/>
      <c r="B17" s="105" t="s">
        <v>175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6" t="s">
        <v>134</v>
      </c>
      <c r="C18" s="97"/>
      <c r="D18" s="97"/>
      <c r="E18" s="97"/>
      <c r="F18" s="98"/>
      <c r="G18" s="21">
        <f>SUM(G10:G17)-SUM(E10:E17)</f>
        <v>1047939.1884000001</v>
      </c>
      <c r="H18" s="22" t="s">
        <v>4</v>
      </c>
      <c r="I18" s="2"/>
    </row>
    <row r="19" spans="1:9" x14ac:dyDescent="0.25">
      <c r="A19" s="2"/>
      <c r="B19" s="96" t="s">
        <v>135</v>
      </c>
      <c r="C19" s="97"/>
      <c r="D19" s="97"/>
      <c r="E19" s="97"/>
      <c r="F19" s="98"/>
      <c r="G19" s="21">
        <f>G18*(1+'Fane 2.1. Økonomisk ramme 2018'!E18/100)</f>
        <v>1066278.1241970002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15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51</v>
      </c>
      <c r="C9" s="87"/>
      <c r="D9" s="87"/>
      <c r="E9" s="87"/>
      <c r="F9" s="88"/>
      <c r="G9" s="12">
        <f>'Fane 3. Korrigeret grundlag'!G12-'Fane 3. Korrigeret grundlag'!G11+SUM('Fane 2.1. Økonomisk ramme 2018'!E13:E14,'Fane 2.1. Økonomisk ramme 2018'!E16:E17)</f>
        <v>72780608.233346373</v>
      </c>
      <c r="H9" s="23" t="s">
        <v>4</v>
      </c>
      <c r="I9" s="2"/>
    </row>
    <row r="10" spans="1:9" x14ac:dyDescent="0.25">
      <c r="A10" s="2"/>
      <c r="B10" s="51" t="s">
        <v>191</v>
      </c>
      <c r="C10" s="49"/>
      <c r="D10" s="49"/>
      <c r="E10" s="49"/>
      <c r="F10" s="50"/>
      <c r="G10" s="12">
        <v>-1226761.5711256396</v>
      </c>
      <c r="H10" s="23" t="s">
        <v>4</v>
      </c>
      <c r="I10" s="2"/>
    </row>
    <row r="11" spans="1:9" x14ac:dyDescent="0.25">
      <c r="A11" s="2"/>
      <c r="B11" s="86" t="s">
        <v>37</v>
      </c>
      <c r="C11" s="87"/>
      <c r="D11" s="87"/>
      <c r="E11" s="87"/>
      <c r="F11" s="88"/>
      <c r="G11" s="29">
        <v>4.797859647454597E-2</v>
      </c>
      <c r="H11" s="23" t="s">
        <v>38</v>
      </c>
      <c r="I11" s="2"/>
    </row>
    <row r="12" spans="1:9" x14ac:dyDescent="0.25">
      <c r="A12" s="2"/>
      <c r="B12" s="96" t="s">
        <v>15</v>
      </c>
      <c r="C12" s="97"/>
      <c r="D12" s="97"/>
      <c r="E12" s="97"/>
      <c r="F12" s="98"/>
      <c r="G12" s="21">
        <f>($G$9+G10)*(1+'Fane 2.1. Økonomisk ramme 2018'!E18/100)*($G$11/100)</f>
        <v>34931.315650743709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53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2018'!E16))</f>
        <v>13233536.4215097</v>
      </c>
      <c r="H9" s="23" t="s">
        <v>4</v>
      </c>
      <c r="I9" s="2"/>
    </row>
    <row r="10" spans="1:9" x14ac:dyDescent="0.25">
      <c r="A10" s="2"/>
      <c r="B10" s="52" t="s">
        <v>190</v>
      </c>
      <c r="C10" s="53"/>
      <c r="D10" s="53"/>
      <c r="E10" s="53"/>
      <c r="F10" s="54"/>
      <c r="G10" s="12">
        <v>-258916.18220419399</v>
      </c>
      <c r="H10" s="23" t="s">
        <v>4</v>
      </c>
      <c r="I10" s="2"/>
    </row>
    <row r="11" spans="1:9" x14ac:dyDescent="0.25">
      <c r="A11" s="2"/>
      <c r="B11" s="86" t="s">
        <v>16</v>
      </c>
      <c r="C11" s="87"/>
      <c r="D11" s="87"/>
      <c r="E11" s="87"/>
      <c r="F11" s="88"/>
      <c r="G11" s="37">
        <f>2</f>
        <v>2</v>
      </c>
      <c r="H11" s="23" t="s">
        <v>38</v>
      </c>
      <c r="I11" s="2"/>
    </row>
    <row r="12" spans="1:9" x14ac:dyDescent="0.25">
      <c r="A12" s="2"/>
      <c r="B12" s="93" t="s">
        <v>39</v>
      </c>
      <c r="C12" s="94"/>
      <c r="D12" s="94"/>
      <c r="E12" s="94"/>
      <c r="F12" s="95"/>
      <c r="G12" s="18">
        <f>($G$9+$G$10)*(1+'Fane 2.1. Økonomisk ramme 2018'!E18/100)*$G$11/100</f>
        <v>264033.52186986705</v>
      </c>
      <c r="H12" s="38" t="s">
        <v>4</v>
      </c>
      <c r="I12" s="2"/>
    </row>
    <row r="13" spans="1:9" x14ac:dyDescent="0.25">
      <c r="A13" s="2"/>
      <c r="B13" s="86" t="s">
        <v>48</v>
      </c>
      <c r="C13" s="87"/>
      <c r="D13" s="87"/>
      <c r="E13" s="87"/>
      <c r="F13" s="88"/>
      <c r="G13" s="12">
        <f xml:space="preserve"> 'Fane 3. Korrigeret grundlag'!G10+SUM('Fane 2.1. Økonomisk ramme 2018'!E14,'Fane 2.1. Økonomisk ramme 2018'!E17)</f>
        <v>59547071.811836675</v>
      </c>
      <c r="H13" s="23" t="s">
        <v>4</v>
      </c>
      <c r="I13" s="2"/>
    </row>
    <row r="14" spans="1:9" x14ac:dyDescent="0.25">
      <c r="A14" s="2"/>
      <c r="B14" s="51" t="s">
        <v>192</v>
      </c>
      <c r="C14" s="49"/>
      <c r="D14" s="49"/>
      <c r="E14" s="49"/>
      <c r="F14" s="50"/>
      <c r="G14" s="12">
        <v>-542127.08512778126</v>
      </c>
      <c r="H14" s="23" t="s">
        <v>4</v>
      </c>
      <c r="I14" s="2"/>
    </row>
    <row r="15" spans="1:9" x14ac:dyDescent="0.25">
      <c r="A15" s="2"/>
      <c r="B15" s="86" t="s">
        <v>16</v>
      </c>
      <c r="C15" s="87"/>
      <c r="D15" s="87"/>
      <c r="E15" s="87"/>
      <c r="F15" s="88"/>
      <c r="G15" s="30">
        <v>1.77</v>
      </c>
      <c r="H15" s="23" t="s">
        <v>38</v>
      </c>
      <c r="I15" s="2"/>
    </row>
    <row r="16" spans="1:9" x14ac:dyDescent="0.25">
      <c r="A16" s="2"/>
      <c r="B16" s="93" t="s">
        <v>40</v>
      </c>
      <c r="C16" s="94"/>
      <c r="D16" s="94"/>
      <c r="E16" s="94"/>
      <c r="F16" s="95"/>
      <c r="G16" s="18">
        <f>($G$13+$G$14)*(1+'Fane 2.1. Økonomisk ramme 2018'!E18/100)*$G$15/100</f>
        <v>1062664.3032918456</v>
      </c>
      <c r="H16" s="38" t="s">
        <v>4</v>
      </c>
      <c r="I16" s="2"/>
    </row>
    <row r="17" spans="1:9" x14ac:dyDescent="0.25">
      <c r="A17" s="2"/>
      <c r="B17" s="96" t="s">
        <v>52</v>
      </c>
      <c r="C17" s="97"/>
      <c r="D17" s="97"/>
      <c r="E17" s="97"/>
      <c r="F17" s="98"/>
      <c r="G17" s="21">
        <f>G12+G16</f>
        <v>1326697.8251617127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73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54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42</v>
      </c>
      <c r="C9" s="87"/>
      <c r="D9" s="87"/>
      <c r="E9" s="87"/>
      <c r="F9" s="88"/>
      <c r="G9" s="27">
        <v>-3298193</v>
      </c>
      <c r="H9" s="23" t="s">
        <v>4</v>
      </c>
      <c r="I9" s="2"/>
    </row>
    <row r="10" spans="1:9" x14ac:dyDescent="0.25">
      <c r="A10" s="2"/>
      <c r="B10" s="86" t="s">
        <v>120</v>
      </c>
      <c r="C10" s="87"/>
      <c r="D10" s="87"/>
      <c r="E10" s="87"/>
      <c r="F10" s="88"/>
      <c r="G10" s="27">
        <v>-3298193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7">
        <f>G9-G10</f>
        <v>0</v>
      </c>
      <c r="H11" s="39" t="s">
        <v>4</v>
      </c>
      <c r="I11" s="2"/>
    </row>
    <row r="12" spans="1:9" x14ac:dyDescent="0.25">
      <c r="A12" s="2"/>
      <c r="B12" s="86" t="s">
        <v>43</v>
      </c>
      <c r="C12" s="87"/>
      <c r="D12" s="87"/>
      <c r="E12" s="87"/>
      <c r="F12" s="88"/>
      <c r="G12" s="27">
        <v>0</v>
      </c>
      <c r="H12" s="23" t="s">
        <v>125</v>
      </c>
      <c r="I12" s="2"/>
    </row>
    <row r="13" spans="1:9" x14ac:dyDescent="0.25">
      <c r="A13" s="2"/>
      <c r="B13" s="96" t="s">
        <v>41</v>
      </c>
      <c r="C13" s="97"/>
      <c r="D13" s="97"/>
      <c r="E13" s="97"/>
      <c r="F13" s="98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74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75</v>
      </c>
      <c r="C8" s="97"/>
      <c r="D8" s="97"/>
      <c r="E8" s="97"/>
      <c r="F8" s="97"/>
      <c r="G8" s="98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x14ac:dyDescent="0.25">
      <c r="A10" s="2"/>
      <c r="B10" s="47" t="s">
        <v>146</v>
      </c>
      <c r="C10" s="41">
        <v>2016</v>
      </c>
      <c r="D10" s="28">
        <v>10</v>
      </c>
      <c r="E10" s="27">
        <v>615065.65</v>
      </c>
      <c r="F10" s="12">
        <f>E10/D10</f>
        <v>61506.565000000002</v>
      </c>
      <c r="G10" s="23" t="s">
        <v>4</v>
      </c>
      <c r="H10" s="2"/>
    </row>
    <row r="11" spans="1:8" ht="26.25" x14ac:dyDescent="0.25">
      <c r="A11" s="2"/>
      <c r="B11" s="47" t="s">
        <v>147</v>
      </c>
      <c r="C11" s="41">
        <v>2016</v>
      </c>
      <c r="D11" s="28">
        <v>10</v>
      </c>
      <c r="E11" s="27">
        <v>842956</v>
      </c>
      <c r="F11" s="12">
        <f t="shared" ref="F11:F33" si="0">E11/D11</f>
        <v>84295.6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75</v>
      </c>
      <c r="E12" s="27">
        <v>6944011.0199999996</v>
      </c>
      <c r="F12" s="12">
        <f t="shared" si="0"/>
        <v>92586.813599999994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75</v>
      </c>
      <c r="E13" s="27">
        <v>2312468.4900000002</v>
      </c>
      <c r="F13" s="12">
        <f t="shared" si="0"/>
        <v>30832.913200000003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75</v>
      </c>
      <c r="E14" s="27">
        <v>381021</v>
      </c>
      <c r="F14" s="12">
        <f t="shared" si="0"/>
        <v>5080.28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5</v>
      </c>
      <c r="E15" s="27">
        <v>674543.01</v>
      </c>
      <c r="F15" s="12">
        <f t="shared" si="0"/>
        <v>134908.60200000001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50</v>
      </c>
      <c r="E16" s="27">
        <v>2658382.2799999998</v>
      </c>
      <c r="F16" s="12">
        <f t="shared" si="0"/>
        <v>53167.645599999996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75</v>
      </c>
      <c r="E17" s="27">
        <v>5585535.9699999997</v>
      </c>
      <c r="F17" s="12">
        <f t="shared" si="0"/>
        <v>74473.812933333335</v>
      </c>
      <c r="G17" s="23" t="s">
        <v>4</v>
      </c>
      <c r="H17" s="2"/>
    </row>
    <row r="18" spans="1:8" x14ac:dyDescent="0.25">
      <c r="A18" s="2"/>
      <c r="B18" s="47" t="s">
        <v>154</v>
      </c>
      <c r="C18" s="41">
        <v>2016</v>
      </c>
      <c r="D18" s="28">
        <v>75</v>
      </c>
      <c r="E18" s="27">
        <v>135617.72</v>
      </c>
      <c r="F18" s="12">
        <f t="shared" si="0"/>
        <v>1808.2362666666668</v>
      </c>
      <c r="G18" s="23" t="s">
        <v>4</v>
      </c>
      <c r="H18" s="2"/>
    </row>
    <row r="19" spans="1:8" ht="26.25" x14ac:dyDescent="0.25">
      <c r="A19" s="2"/>
      <c r="B19" s="47" t="s">
        <v>155</v>
      </c>
      <c r="C19" s="41">
        <v>2016</v>
      </c>
      <c r="D19" s="28">
        <v>50</v>
      </c>
      <c r="E19" s="27">
        <v>1549291.65</v>
      </c>
      <c r="F19" s="12">
        <f t="shared" si="0"/>
        <v>30985.832999999999</v>
      </c>
      <c r="G19" s="23" t="s">
        <v>4</v>
      </c>
      <c r="H19" s="2"/>
    </row>
    <row r="20" spans="1:8" x14ac:dyDescent="0.25">
      <c r="A20" s="2"/>
      <c r="B20" s="47" t="s">
        <v>156</v>
      </c>
      <c r="C20" s="41">
        <v>2016</v>
      </c>
      <c r="D20" s="28">
        <v>75</v>
      </c>
      <c r="E20" s="27">
        <v>5531499.6399999997</v>
      </c>
      <c r="F20" s="12">
        <f t="shared" si="0"/>
        <v>73753.328533333333</v>
      </c>
      <c r="G20" s="23" t="s">
        <v>4</v>
      </c>
      <c r="H20" s="2"/>
    </row>
    <row r="21" spans="1:8" x14ac:dyDescent="0.25">
      <c r="A21" s="2"/>
      <c r="B21" s="47" t="s">
        <v>157</v>
      </c>
      <c r="C21" s="41">
        <v>2016</v>
      </c>
      <c r="D21" s="28">
        <v>75</v>
      </c>
      <c r="E21" s="27">
        <v>859987.87</v>
      </c>
      <c r="F21" s="12">
        <f t="shared" si="0"/>
        <v>11466.504933333334</v>
      </c>
      <c r="G21" s="23" t="s">
        <v>4</v>
      </c>
      <c r="H21" s="2"/>
    </row>
    <row r="22" spans="1:8" ht="26.25" x14ac:dyDescent="0.25">
      <c r="A22" s="2"/>
      <c r="B22" s="47" t="s">
        <v>158</v>
      </c>
      <c r="C22" s="41">
        <v>2016</v>
      </c>
      <c r="D22" s="28">
        <v>50</v>
      </c>
      <c r="E22" s="27">
        <v>2184427.5</v>
      </c>
      <c r="F22" s="12">
        <f t="shared" si="0"/>
        <v>43688.55</v>
      </c>
      <c r="G22" s="23" t="s">
        <v>4</v>
      </c>
      <c r="H22" s="2"/>
    </row>
    <row r="23" spans="1:8" x14ac:dyDescent="0.25">
      <c r="A23" s="2"/>
      <c r="B23" s="47" t="s">
        <v>159</v>
      </c>
      <c r="C23" s="41">
        <v>2016</v>
      </c>
      <c r="D23" s="28">
        <v>20</v>
      </c>
      <c r="E23" s="27">
        <v>493919.2</v>
      </c>
      <c r="F23" s="12">
        <f t="shared" si="0"/>
        <v>24695.96</v>
      </c>
      <c r="G23" s="23" t="s">
        <v>4</v>
      </c>
      <c r="H23" s="2"/>
    </row>
    <row r="24" spans="1:8" x14ac:dyDescent="0.25">
      <c r="A24" s="2"/>
      <c r="B24" s="47" t="s">
        <v>160</v>
      </c>
      <c r="C24" s="41">
        <v>2016</v>
      </c>
      <c r="D24" s="28">
        <v>10</v>
      </c>
      <c r="E24" s="27">
        <v>290555.8</v>
      </c>
      <c r="F24" s="12">
        <f t="shared" si="0"/>
        <v>29055.579999999998</v>
      </c>
      <c r="G24" s="23" t="s">
        <v>4</v>
      </c>
      <c r="H24" s="2"/>
    </row>
    <row r="25" spans="1:8" ht="26.25" x14ac:dyDescent="0.25">
      <c r="A25" s="2"/>
      <c r="B25" s="47" t="s">
        <v>161</v>
      </c>
      <c r="C25" s="41">
        <v>2016</v>
      </c>
      <c r="D25" s="28">
        <v>30</v>
      </c>
      <c r="E25" s="27">
        <v>166625.04</v>
      </c>
      <c r="F25" s="12">
        <f t="shared" si="0"/>
        <v>5554.1680000000006</v>
      </c>
      <c r="G25" s="23" t="s">
        <v>4</v>
      </c>
      <c r="H25" s="2"/>
    </row>
    <row r="26" spans="1:8" x14ac:dyDescent="0.25">
      <c r="A26" s="2"/>
      <c r="B26" s="47" t="s">
        <v>162</v>
      </c>
      <c r="C26" s="41">
        <v>2016</v>
      </c>
      <c r="D26" s="28">
        <v>50</v>
      </c>
      <c r="E26" s="27">
        <v>359120.55</v>
      </c>
      <c r="F26" s="12">
        <f t="shared" si="0"/>
        <v>7182.4110000000001</v>
      </c>
      <c r="G26" s="23" t="s">
        <v>4</v>
      </c>
      <c r="H26" s="2"/>
    </row>
    <row r="27" spans="1:8" x14ac:dyDescent="0.25">
      <c r="A27" s="2"/>
      <c r="B27" s="47" t="s">
        <v>156</v>
      </c>
      <c r="C27" s="41">
        <v>2016</v>
      </c>
      <c r="D27" s="28">
        <v>75</v>
      </c>
      <c r="E27" s="27">
        <v>267916.39</v>
      </c>
      <c r="F27" s="12">
        <f t="shared" si="0"/>
        <v>3572.2185333333337</v>
      </c>
      <c r="G27" s="23" t="s">
        <v>4</v>
      </c>
      <c r="H27" s="2"/>
    </row>
    <row r="28" spans="1:8" ht="26.25" x14ac:dyDescent="0.25">
      <c r="A28" s="2"/>
      <c r="B28" s="47" t="s">
        <v>163</v>
      </c>
      <c r="C28" s="41">
        <v>2016</v>
      </c>
      <c r="D28" s="28">
        <v>50</v>
      </c>
      <c r="E28" s="27">
        <v>1083867</v>
      </c>
      <c r="F28" s="12">
        <f t="shared" si="0"/>
        <v>21677.34</v>
      </c>
      <c r="G28" s="23" t="s">
        <v>4</v>
      </c>
      <c r="H28" s="2"/>
    </row>
    <row r="29" spans="1:8" ht="26.25" x14ac:dyDescent="0.25">
      <c r="A29" s="2"/>
      <c r="B29" s="47" t="s">
        <v>164</v>
      </c>
      <c r="C29" s="41">
        <v>2016</v>
      </c>
      <c r="D29" s="28">
        <v>20</v>
      </c>
      <c r="E29" s="27">
        <v>216773</v>
      </c>
      <c r="F29" s="12">
        <f t="shared" si="0"/>
        <v>10838.65</v>
      </c>
      <c r="G29" s="23" t="s">
        <v>4</v>
      </c>
      <c r="H29" s="2"/>
    </row>
    <row r="30" spans="1:8" x14ac:dyDescent="0.25">
      <c r="A30" s="2"/>
      <c r="B30" s="47" t="s">
        <v>165</v>
      </c>
      <c r="C30" s="41">
        <v>2016</v>
      </c>
      <c r="D30" s="28">
        <v>10</v>
      </c>
      <c r="E30" s="27">
        <v>54193</v>
      </c>
      <c r="F30" s="12">
        <f t="shared" si="0"/>
        <v>5419.3</v>
      </c>
      <c r="G30" s="23" t="s">
        <v>4</v>
      </c>
      <c r="H30" s="2"/>
    </row>
    <row r="31" spans="1:8" ht="26.25" x14ac:dyDescent="0.25">
      <c r="A31" s="2"/>
      <c r="B31" s="47" t="s">
        <v>166</v>
      </c>
      <c r="C31" s="41">
        <v>2016</v>
      </c>
      <c r="D31" s="28">
        <v>20</v>
      </c>
      <c r="E31" s="27">
        <v>3568525.17</v>
      </c>
      <c r="F31" s="12">
        <f t="shared" si="0"/>
        <v>178426.2585</v>
      </c>
      <c r="G31" s="23" t="s">
        <v>4</v>
      </c>
      <c r="H31" s="2"/>
    </row>
    <row r="32" spans="1:8" ht="26.25" x14ac:dyDescent="0.25">
      <c r="A32" s="2"/>
      <c r="B32" s="47" t="s">
        <v>167</v>
      </c>
      <c r="C32" s="41">
        <v>2016</v>
      </c>
      <c r="D32" s="28">
        <v>10</v>
      </c>
      <c r="E32" s="27">
        <v>178426.26</v>
      </c>
      <c r="F32" s="12">
        <f t="shared" si="0"/>
        <v>17842.626</v>
      </c>
      <c r="G32" s="23" t="s">
        <v>4</v>
      </c>
      <c r="H32" s="2"/>
    </row>
    <row r="33" spans="1:8" x14ac:dyDescent="0.25">
      <c r="A33" s="2"/>
      <c r="B33" s="47" t="s">
        <v>160</v>
      </c>
      <c r="C33" s="41">
        <v>2016</v>
      </c>
      <c r="D33" s="28">
        <v>10</v>
      </c>
      <c r="E33" s="27">
        <v>185249</v>
      </c>
      <c r="F33" s="12">
        <f t="shared" si="0"/>
        <v>18524.900000000001</v>
      </c>
      <c r="G33" s="23" t="s">
        <v>4</v>
      </c>
      <c r="H33" s="2"/>
    </row>
    <row r="34" spans="1:8" x14ac:dyDescent="0.25">
      <c r="A34" s="2"/>
      <c r="B34" s="96" t="s">
        <v>76</v>
      </c>
      <c r="C34" s="97"/>
      <c r="D34" s="97"/>
      <c r="E34" s="98"/>
      <c r="F34" s="21">
        <f>SUM(F10:F33)</f>
        <v>1021344.0971000001</v>
      </c>
      <c r="G34" s="22" t="s">
        <v>4</v>
      </c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</sheetData>
  <sheetProtection password="DFE9" sheet="1" objects="1" scenarios="1"/>
  <mergeCells count="4">
    <mergeCell ref="B34:E3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2017-09-29T11:30:55Z</dcterms:modified>
</cp:coreProperties>
</file>