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O3" i="16" l="1"/>
  <c r="N3" i="16"/>
  <c r="M3" i="16"/>
  <c r="L3" i="16"/>
  <c r="K3" i="16"/>
  <c r="J3" i="16"/>
  <c r="I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N2" i="18" l="1"/>
  <c r="C8" i="27" l="1"/>
  <c r="C9" i="27"/>
  <c r="E2" i="15" l="1"/>
  <c r="M4" i="16" l="1"/>
  <c r="N4" i="16"/>
  <c r="O4" i="16"/>
  <c r="V3" i="16" l="1"/>
  <c r="U3" i="16"/>
  <c r="F3" i="17"/>
  <c r="G3" i="17"/>
  <c r="I4" i="16" l="1"/>
  <c r="J4" i="16"/>
  <c r="K4" i="16"/>
  <c r="L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O5" i="16"/>
  <c r="M6" i="16"/>
  <c r="N6" i="16"/>
  <c r="O6" i="16"/>
  <c r="M5" i="16"/>
  <c r="T3" i="16" s="1"/>
  <c r="N5" i="16"/>
  <c r="G5" i="17"/>
  <c r="F4" i="17"/>
  <c r="E5" i="17"/>
  <c r="G4" i="17"/>
  <c r="E4" i="17"/>
  <c r="F5" i="17"/>
  <c r="L5" i="16"/>
  <c r="I6" i="16"/>
  <c r="J5" i="16"/>
  <c r="L6" i="16"/>
  <c r="J3" i="24"/>
  <c r="K5" i="16"/>
  <c r="R3" i="16" s="1"/>
  <c r="K6" i="16"/>
  <c r="J6" i="16"/>
  <c r="I5" i="16"/>
  <c r="Q3" i="16" l="1"/>
  <c r="S3" i="16"/>
  <c r="M3" i="24"/>
  <c r="B9" i="12" s="1"/>
  <c r="B10" i="12" s="1"/>
  <c r="P3" i="16"/>
  <c r="H3" i="17"/>
  <c r="B4" i="12" s="1"/>
  <c r="I2" i="15"/>
  <c r="K2" i="15" s="1"/>
  <c r="B2" i="12" s="1"/>
  <c r="W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<sst xmlns="http://schemas.openxmlformats.org/spreadsheetml/2006/main" count="132" uniqueCount="85">
  <si>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</si>
  <si>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</si>
  <si>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</si>
  <si>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</si>
  <si>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</si>
  <si>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</si>
  <si>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</si>
  <si>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</si>
  <si>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</si>
  <si>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</si>
  <si>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</si>
  <si>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</si>
  <si>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</si>
  <si>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</si>
  <si>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</si>
  <si>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</si>
  <si>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</si>
  <si>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</si>
  <si>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</si>
  <si>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</si>
  <si>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</si>
  <si>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</si>
  <si>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</si>
  <si>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>Beredskabsplan</t>
  </si>
  <si>
    <t xml:space="preserve">Dokumenteret spildevandssikkerhed (DSS) </t>
  </si>
  <si>
    <t>Badevandskvalitet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</si>
  <si>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</si>
  <si>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</si>
  <si>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</si>
  <si>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</si>
  <si>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</si>
  <si>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</si>
  <si>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</si>
  <si>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</si>
  <si>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</si>
  <si>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</si>
  <si>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</si>
  <si>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</si>
  <si>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</si>
  <si>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</si>
  <si>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</si>
  <si>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</si>
  <si>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</si>
  <si>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</si>
  <si>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</si>
  <si>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</si>
  <si>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</si>
  <si>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</si>
  <si>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</si>
  <si>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</si>
  <si>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</si>
  <si>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</si>
  <si>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</si>
  <si>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</si>
  <si>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St vejleå (klimasikring</t>
  </si>
  <si>
    <t>Vallensbæk mose (Øget rensning)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</si>
  <si>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</si>
  <si>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</si>
  <si>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</si>
  <si>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</si>
  <si>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</si>
  <si>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</si>
  <si>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</si>
  <si>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</si>
  <si>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</si>
  <si>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</si>
  <si>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</si>
  <si>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</si>
  <si>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</si>
  <si>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</si>
  <si>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</si>
  <si>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</si>
  <si>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</si>
  <si>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</si>
  <si>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</si>
  <si>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</si>
  <si>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</si>
  <si>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</si>
  <si>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</si>
  <si>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</si>
  <si>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Nødpumpe station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</si>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</sst>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4087674.4840879994</v>
      </c>
      <c r="C2" t="s">
        <v>11</v>
      </c>
    </row>
    <row r="3" spans="1:3" s="2" customFormat="1" x14ac:dyDescent="0.25">
      <c r="A3" s="5" t="s">
        <v>8</v>
      </c>
      <c r="B3" s="36">
        <f>'Miljø- og servicemål'!W3</f>
        <v>988852.71897851839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21251.449466666665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5097778.6525331838</v>
      </c>
      <c r="C5" s="62" t="s">
        <v>11</v>
      </c>
    </row>
    <row r="6" spans="1:3" x14ac:dyDescent="0.25">
      <c r="A6" s="47" t="s">
        <v>0</v>
      </c>
      <c r="B6" s="38">
        <f>Investeringer!E3</f>
        <v>10750191.718935717</v>
      </c>
      <c r="C6" s="23" t="s">
        <v>11</v>
      </c>
    </row>
    <row r="7" spans="1:3" x14ac:dyDescent="0.25">
      <c r="A7" s="4" t="s">
        <v>1</v>
      </c>
      <c r="B7" s="35">
        <f>Investeringer!F3</f>
        <v>2172908.6875911499</v>
      </c>
      <c r="C7" t="s">
        <v>11</v>
      </c>
    </row>
    <row r="8" spans="1:3" x14ac:dyDescent="0.25">
      <c r="A8" s="4" t="s">
        <v>2</v>
      </c>
      <c r="B8" s="35">
        <f>Investeringer!G3</f>
        <v>219642.39771130294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124330.29173333333</v>
      </c>
      <c r="C9" t="s">
        <v>11</v>
      </c>
    </row>
    <row r="10" spans="1:3" s="22" customFormat="1" x14ac:dyDescent="0.25">
      <c r="A10" s="3" t="s">
        <v>52</v>
      </c>
      <c r="B10" s="48">
        <f>SUM(B6:B9)</f>
        <v>13267073.095971504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5139748</v>
      </c>
      <c r="C11" t="s">
        <v>11</v>
      </c>
    </row>
    <row r="12" spans="1:3" s="22" customFormat="1" x14ac:dyDescent="0.25">
      <c r="A12" s="4" t="s">
        <v>56</v>
      </c>
      <c r="B12" s="35">
        <f>SUM(Medfinansiering!B:B)</f>
        <v>765768.58480443852</v>
      </c>
      <c r="C12" s="22" t="s">
        <v>11</v>
      </c>
    </row>
    <row r="13" spans="1:3" s="22" customFormat="1" x14ac:dyDescent="0.25">
      <c r="A13" s="3" t="s">
        <v>77</v>
      </c>
      <c r="B13" s="48">
        <f>SUM(B11:B12)</f>
        <v>5905516.5848044381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67</v>
      </c>
      <c r="B15" s="37">
        <f>SUM(B5,B10,B13)</f>
        <v>24270368.333309125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59</v>
      </c>
      <c r="B17" s="37">
        <f>B15*Pristalsregulering!C8*Pristalsregulering!C9</f>
        <v>24485203.32349981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68</v>
      </c>
      <c r="D1" s="59" t="s">
        <v>69</v>
      </c>
      <c r="E1" s="59" t="s">
        <v>60</v>
      </c>
      <c r="F1" s="52" t="s">
        <v>70</v>
      </c>
      <c r="G1" s="52" t="s">
        <v>78</v>
      </c>
      <c r="H1" s="52" t="s">
        <v>71</v>
      </c>
      <c r="I1" s="52" t="s">
        <v>53</v>
      </c>
      <c r="J1" s="11" t="s">
        <v>72</v>
      </c>
      <c r="K1" s="11" t="s">
        <v>73</v>
      </c>
    </row>
    <row r="2" spans="1:11" s="23" customFormat="1" ht="15.75" thickTop="1" x14ac:dyDescent="0.25">
      <c r="A2" s="28">
        <v>2015</v>
      </c>
      <c r="B2" s="49">
        <v>3901812</v>
      </c>
      <c r="C2" s="49">
        <v>0</v>
      </c>
      <c r="D2" s="49">
        <f>B2+C2</f>
        <v>3901812</v>
      </c>
      <c r="E2" s="50">
        <f>D2</f>
        <v>3901812</v>
      </c>
      <c r="F2" s="49">
        <v>4193897.4032583321</v>
      </c>
      <c r="G2" s="49">
        <v>0</v>
      </c>
      <c r="H2" s="49">
        <f>F2-G2</f>
        <v>4193897.4032583321</v>
      </c>
      <c r="I2" s="49">
        <f>AVERAGEIF(E2:E4,"&lt;&gt;0")</f>
        <v>4087674.4840879994</v>
      </c>
      <c r="J2" s="49">
        <v>1397965.8283353522</v>
      </c>
      <c r="K2" s="39">
        <f>IF(H2&gt;I2,IF(I2&gt;J2,I2,J2),H2)</f>
        <v>4087674.4840879994</v>
      </c>
    </row>
    <row r="3" spans="1:11" s="23" customFormat="1" x14ac:dyDescent="0.25">
      <c r="A3" s="28">
        <v>2014</v>
      </c>
      <c r="B3" s="49">
        <v>4546936</v>
      </c>
      <c r="C3" s="49"/>
      <c r="D3" s="49">
        <f t="shared" ref="D3:D4" si="0">B3+C3</f>
        <v>4546936</v>
      </c>
      <c r="E3" s="50">
        <f>D3*Pristalsregulering!C7</f>
        <v>4550573.5488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3751322</v>
      </c>
      <c r="C4" s="49"/>
      <c r="D4" s="49">
        <f t="shared" si="0"/>
        <v>3751322</v>
      </c>
      <c r="E4" s="50">
        <f>D4*Pristalsregulering!$C$6*Pristalsregulering!$C$7</f>
        <v>3810637.9034639993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8" width="30.7109375" style="22" customWidth="1"/>
    <col min="9" max="9" width="30.7109375" style="55" customWidth="1"/>
    <col min="10" max="12" width="30.7109375" customWidth="1"/>
    <col min="13" max="15" width="30.7109375" style="22" customWidth="1"/>
    <col min="16" max="16" width="30.7109375" style="55" customWidth="1"/>
    <col min="17" max="20" width="30.7109375" customWidth="1"/>
    <col min="21" max="22" width="30.7109375" style="22" customWidth="1"/>
    <col min="23" max="23" width="30.7109375" style="55" customWidth="1"/>
    <col min="24" max="24" width="9.140625" hidden="1" customWidth="1"/>
    <col min="25" max="32" width="0" hidden="1" customWidth="1"/>
    <col min="33" max="33" width="9.140625" hidden="1" customWidth="1"/>
    <col min="34" max="38" width="0" hidden="1" customWidth="1"/>
    <col min="39" max="39" width="9.140625" hidden="1" customWidth="1"/>
    <col min="40" max="47" width="0" hidden="1" customWidth="1"/>
    <col min="48" max="48" width="9.140625" hidden="1" customWidth="1"/>
    <col min="49" max="54" width="0" hidden="1" customWidth="1"/>
    <col min="55" max="55" width="9.140625" hidden="1" customWidth="1"/>
    <col min="56" max="63" width="0" hidden="1" customWidth="1"/>
    <col min="64" max="64" width="9.140625" hidden="1" customWidth="1"/>
    <col min="65" max="69" width="0" hidden="1" customWidth="1"/>
    <col min="70" max="70" width="9.140625" hidden="1" customWidth="1"/>
    <col min="71" max="78" width="0" hidden="1" customWidth="1"/>
    <col min="79" max="80" width="9.140625" hidden="1" customWidth="1"/>
    <col min="81" max="84" width="0" hidden="1" customWidth="1"/>
    <col min="85" max="85" width="9.140625" hidden="1" customWidth="1"/>
    <col min="86" max="91" width="0" hidden="1" customWidth="1"/>
    <col min="92" max="92" width="9.140625" hidden="1" customWidth="1"/>
    <col min="93" max="100" width="0" hidden="1" customWidth="1"/>
    <col min="101" max="101" width="9.140625" hidden="1" customWidth="1"/>
    <col min="102" max="106" width="0" hidden="1" customWidth="1"/>
    <col min="107" max="107" width="9.140625" hidden="1" customWidth="1"/>
    <col min="108" max="115" width="0" hidden="1" customWidth="1"/>
    <col min="116" max="117" width="9.140625" hidden="1" customWidth="1"/>
    <col min="118" max="122" width="0" hidden="1" customWidth="1"/>
    <col min="123" max="123" width="9.140625" hidden="1" customWidth="1"/>
    <col min="124" max="128" width="0" hidden="1" customWidth="1"/>
    <col min="129" max="129" width="9.140625" hidden="1" customWidth="1"/>
    <col min="130" max="137" width="0" hidden="1" customWidth="1"/>
    <col min="138" max="139" width="9.140625" hidden="1" customWidth="1"/>
    <col min="140" max="143" width="0" hidden="1" customWidth="1"/>
    <col min="144" max="144" width="9.140625" hidden="1" customWidth="1"/>
    <col min="145" max="152" width="0" hidden="1" customWidth="1"/>
    <col min="153" max="154" width="9.140625" hidden="1" customWidth="1"/>
    <col min="155" max="159" width="0" hidden="1" customWidth="1"/>
    <col min="160" max="160" width="9.140625" hidden="1" customWidth="1"/>
    <col min="161" max="168" width="0" hidden="1" customWidth="1"/>
    <col min="169" max="170" width="9.140625" hidden="1" customWidth="1"/>
    <col min="171" max="174" width="0" hidden="1" customWidth="1"/>
    <col min="175" max="175" width="9.140625" hidden="1" customWidth="1"/>
    <col min="176" max="183" width="0" hidden="1" customWidth="1"/>
    <col min="184" max="186" width="9.140625" hidden="1" customWidth="1"/>
    <col min="187" max="189" width="0" hidden="1" customWidth="1"/>
    <col min="190" max="191" width="9.140625" hidden="1" customWidth="1"/>
    <col min="192" max="196" width="0" hidden="1" customWidth="1"/>
    <col min="197" max="197" width="9.140625" hidden="1" customWidth="1"/>
    <col min="198" max="205" width="0" hidden="1" customWidth="1"/>
    <col min="206" max="207" width="9.140625" hidden="1" customWidth="1"/>
    <col min="208" max="211" width="0" hidden="1" customWidth="1"/>
    <col min="212" max="212" width="9.140625" hidden="1" customWidth="1"/>
    <col min="213" max="220" width="0" hidden="1" customWidth="1"/>
    <col min="221" max="223" width="9.140625" hidden="1" customWidth="1"/>
    <col min="224" max="227" width="0" hidden="1" customWidth="1"/>
    <col min="228" max="229" width="9.140625" hidden="1" customWidth="1"/>
    <col min="230" max="233" width="0" hidden="1" customWidth="1"/>
    <col min="234" max="234" width="9.140625" hidden="1" customWidth="1"/>
    <col min="235" max="242" width="0" hidden="1" customWidth="1"/>
    <col min="243" max="245" width="9.140625" hidden="1" customWidth="1"/>
    <col min="246" max="248" width="0" hidden="1" customWidth="1"/>
    <col min="249" max="249" width="9.140625" hidden="1" customWidth="1"/>
    <col min="250" max="257" width="0" hidden="1" customWidth="1"/>
    <col min="258" max="260" width="9.140625" hidden="1" customWidth="1"/>
    <col min="261" max="264" width="0" hidden="1" customWidth="1"/>
    <col min="265" max="265" width="9.140625" hidden="1" customWidth="1"/>
    <col min="266" max="273" width="0" hidden="1" customWidth="1"/>
    <col min="274" max="276" width="9.140625" hidden="1" customWidth="1"/>
    <col min="277" max="279" width="0" hidden="1" customWidth="1"/>
    <col min="280" max="280" width="9.140625" hidden="1" customWidth="1"/>
    <col min="281" max="288" width="0" hidden="1" customWidth="1"/>
    <col min="289" max="292" width="9.140625" hidden="1" customWidth="1"/>
    <col min="293" max="294" width="0" hidden="1" customWidth="1"/>
    <col min="295" max="297" width="9.140625" hidden="1" customWidth="1"/>
    <col min="298" max="301" width="0" hidden="1" customWidth="1"/>
    <col min="302" max="302" width="9.140625" hidden="1" customWidth="1"/>
    <col min="303" max="310" width="0" hidden="1" customWidth="1"/>
    <col min="311" max="313" width="9.140625" hidden="1" customWidth="1"/>
    <col min="314" max="316" width="0" hidden="1" customWidth="1"/>
    <col min="317" max="317" width="9.140625" hidden="1" customWidth="1"/>
    <col min="318" max="325" width="0" hidden="1" customWidth="1"/>
    <col min="326" max="330" width="9.140625" hidden="1" customWidth="1"/>
    <col min="331" max="338" width="0" hidden="1" customWidth="1"/>
    <col min="339" max="16384" width="9.140625" hidden="1"/>
  </cols>
  <sheetData>
    <row r="1" spans="1:23" s="27" customFormat="1" ht="15.75" thickBot="1" x14ac:dyDescent="0.3">
      <c r="A1" s="9"/>
      <c r="B1" s="33" t="s">
        <v>81</v>
      </c>
      <c r="C1" s="33"/>
      <c r="D1" s="33"/>
      <c r="E1" s="33"/>
      <c r="F1" s="33"/>
      <c r="G1" s="33"/>
      <c r="H1" s="33"/>
      <c r="I1" s="65" t="s">
        <v>82</v>
      </c>
      <c r="J1" s="10"/>
      <c r="K1" s="10"/>
      <c r="L1" s="10"/>
      <c r="M1" s="10"/>
      <c r="N1" s="10"/>
      <c r="O1" s="10"/>
      <c r="P1" s="65" t="s">
        <v>83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34" t="s">
        <v>26</v>
      </c>
      <c r="G2" s="34" t="s">
        <v>54</v>
      </c>
      <c r="H2" s="34" t="s">
        <v>55</v>
      </c>
      <c r="I2" s="56" t="s">
        <v>22</v>
      </c>
      <c r="J2" s="34" t="s">
        <v>23</v>
      </c>
      <c r="K2" s="34" t="s">
        <v>24</v>
      </c>
      <c r="L2" s="34" t="s">
        <v>25</v>
      </c>
      <c r="M2" s="34" t="s">
        <v>26</v>
      </c>
      <c r="N2" s="34" t="s">
        <v>54</v>
      </c>
      <c r="O2" s="34" t="s">
        <v>55</v>
      </c>
      <c r="P2" s="56" t="s">
        <v>22</v>
      </c>
      <c r="Q2" s="34" t="s">
        <v>23</v>
      </c>
      <c r="R2" s="34" t="s">
        <v>24</v>
      </c>
      <c r="S2" s="34" t="s">
        <v>25</v>
      </c>
      <c r="T2" s="34" t="s">
        <v>26</v>
      </c>
      <c r="U2" s="34" t="s">
        <v>54</v>
      </c>
      <c r="V2" s="34" t="s">
        <v>55</v>
      </c>
      <c r="W2" s="53" t="s">
        <v>27</v>
      </c>
    </row>
    <row r="3" spans="1:23" s="22" customFormat="1" x14ac:dyDescent="0.25">
      <c r="A3" s="28">
        <v>2016</v>
      </c>
      <c r="B3" s="74">
        <v>0</v>
      </c>
      <c r="C3" s="74">
        <v>0</v>
      </c>
      <c r="D3" s="74">
        <v>24020</v>
      </c>
      <c r="E3" s="74">
        <v>282902</v>
      </c>
      <c r="F3" s="74">
        <v>504469</v>
      </c>
      <c r="G3" s="74">
        <v>0</v>
      </c>
      <c r="H3" s="74">
        <v>0</v>
      </c>
      <c r="I3" s="45">
        <f>B3/Pristalsregulering!$C$8</f>
        <v>0</v>
      </c>
      <c r="J3" s="35">
        <f>C3/Pristalsregulering!$C$8</f>
        <v>0</v>
      </c>
      <c r="K3" s="35">
        <f>D3/Pristalsregulering!$C$8</f>
        <v>24111.624171853044</v>
      </c>
      <c r="L3" s="35">
        <f>E3/Pristalsregulering!$C$8</f>
        <v>283981.12828749249</v>
      </c>
      <c r="M3" s="35">
        <f>F3/Pristalsregulering!$C$8</f>
        <v>506393.29451917286</v>
      </c>
      <c r="N3" s="35">
        <f>G3/Pristalsregulering!$C$8</f>
        <v>0</v>
      </c>
      <c r="O3" s="35">
        <f>H3/Pristalsregulering!$C$8</f>
        <v>0</v>
      </c>
      <c r="P3" s="45">
        <f t="shared" ref="P3:V3" si="0">IF(I4=0,0,AVERAGEIF(I4:I6,"&lt;&gt;0"))+I3</f>
        <v>0</v>
      </c>
      <c r="Q3" s="38">
        <f t="shared" si="0"/>
        <v>174366.67199999999</v>
      </c>
      <c r="R3" s="38">
        <f t="shared" si="0"/>
        <v>24111.624171853044</v>
      </c>
      <c r="S3" s="38">
        <f t="shared" si="0"/>
        <v>283981.12828749249</v>
      </c>
      <c r="T3" s="38">
        <f t="shared" si="0"/>
        <v>506393.29451917286</v>
      </c>
      <c r="U3" s="38">
        <f t="shared" si="0"/>
        <v>0</v>
      </c>
      <c r="V3" s="38">
        <f t="shared" si="0"/>
        <v>0</v>
      </c>
      <c r="W3" s="57">
        <f>SUM(P3:V3)</f>
        <v>988852.71897851839</v>
      </c>
    </row>
    <row r="4" spans="1:23" x14ac:dyDescent="0.25">
      <c r="A4" s="28">
        <v>2015</v>
      </c>
      <c r="B4" s="35"/>
      <c r="C4" s="35">
        <v>184422</v>
      </c>
      <c r="D4" s="35"/>
      <c r="E4" s="35"/>
      <c r="F4" s="35"/>
      <c r="G4" s="35"/>
      <c r="H4" s="35"/>
      <c r="I4" s="45">
        <f t="shared" ref="I4:O4" si="1">B4</f>
        <v>0</v>
      </c>
      <c r="J4" s="35">
        <f t="shared" si="1"/>
        <v>184422</v>
      </c>
      <c r="K4" s="35">
        <f t="shared" si="1"/>
        <v>0</v>
      </c>
      <c r="L4" s="35">
        <f t="shared" si="1"/>
        <v>0</v>
      </c>
      <c r="M4" s="35">
        <f t="shared" si="1"/>
        <v>0</v>
      </c>
      <c r="N4" s="35">
        <f t="shared" si="1"/>
        <v>0</v>
      </c>
      <c r="O4" s="35">
        <f t="shared" si="1"/>
        <v>0</v>
      </c>
      <c r="P4" s="45"/>
      <c r="Q4" s="38"/>
      <c r="R4" s="38"/>
      <c r="S4" s="38"/>
      <c r="T4" s="38"/>
      <c r="U4" s="38"/>
      <c r="V4" s="38"/>
      <c r="W4" s="54"/>
    </row>
    <row r="5" spans="1:23" x14ac:dyDescent="0.25">
      <c r="A5" s="28">
        <v>2014</v>
      </c>
      <c r="B5" s="35"/>
      <c r="C5" s="35">
        <v>164180</v>
      </c>
      <c r="D5" s="35"/>
      <c r="E5" s="35"/>
      <c r="F5" s="35"/>
      <c r="G5" s="35"/>
      <c r="H5" s="35"/>
      <c r="I5" s="45">
        <f>B5*Pristalsregulering!$C$7</f>
        <v>0</v>
      </c>
      <c r="J5" s="35">
        <f>C5*Pristalsregulering!$C$7</f>
        <v>164311.34399999998</v>
      </c>
      <c r="K5" s="35">
        <f>D5*Pristalsregulering!$C$7</f>
        <v>0</v>
      </c>
      <c r="L5" s="35">
        <f>E5*Pristalsregulering!$C$7</f>
        <v>0</v>
      </c>
      <c r="M5" s="35">
        <f>F5*Pristalsregulering!$C$7</f>
        <v>0</v>
      </c>
      <c r="N5" s="35">
        <f>G5*Pristalsregulering!$C$7</f>
        <v>0</v>
      </c>
      <c r="O5" s="35">
        <f>H5*Pristalsregulering!$C$7</f>
        <v>0</v>
      </c>
      <c r="P5" s="45"/>
      <c r="Q5" s="35"/>
      <c r="R5" s="35"/>
      <c r="S5" s="35"/>
      <c r="T5" s="38"/>
      <c r="U5" s="38"/>
      <c r="V5" s="38"/>
      <c r="W5" s="45"/>
    </row>
    <row r="6" spans="1:23" x14ac:dyDescent="0.25">
      <c r="A6" s="28">
        <v>2013</v>
      </c>
      <c r="B6" s="35"/>
      <c r="C6" s="35"/>
      <c r="D6" s="35"/>
      <c r="E6" s="35">
        <v>54457</v>
      </c>
      <c r="F6" s="35"/>
      <c r="G6" s="35"/>
      <c r="H6" s="35"/>
      <c r="I6" s="45">
        <f>B6*Pristalsregulering!$C$7*Pristalsregulering!$C$6</f>
        <v>0</v>
      </c>
      <c r="J6" s="35">
        <f>C6*Pristalsregulering!$C$7*Pristalsregulering!$C$6</f>
        <v>0</v>
      </c>
      <c r="K6" s="35">
        <f>D6*Pristalsregulering!$C$7*Pristalsregulering!$C$6</f>
        <v>0</v>
      </c>
      <c r="L6" s="35">
        <f>E6*Pristalsregulering!$C$7*Pristalsregulering!$C$6</f>
        <v>55318.074083999993</v>
      </c>
      <c r="M6" s="35">
        <f>F6*Pristalsregulering!$C$7*Pristalsregulering!$C$6</f>
        <v>0</v>
      </c>
      <c r="N6" s="35">
        <f>G6*Pristalsregulering!$C$7*Pristalsregulering!$C$6</f>
        <v>0</v>
      </c>
      <c r="O6" s="35">
        <f>H6*Pristalsregulering!$C$7*Pristalsregulering!$C$6</f>
        <v>0</v>
      </c>
      <c r="P6" s="45"/>
      <c r="Q6" s="35"/>
      <c r="R6" s="35"/>
      <c r="S6" s="35"/>
      <c r="T6" s="38"/>
      <c r="U6" s="38"/>
      <c r="V6" s="38"/>
      <c r="W6" s="45"/>
    </row>
    <row r="7" spans="1:23" hidden="1" x14ac:dyDescent="0.25"/>
    <row r="8" spans="1:23" hidden="1" x14ac:dyDescent="0.25"/>
    <row r="9" spans="1:23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28</v>
      </c>
      <c r="C1" s="76"/>
      <c r="D1" s="76"/>
      <c r="E1" s="77" t="s">
        <v>61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6" t="s">
        <v>31</v>
      </c>
      <c r="H2" s="6" t="s">
        <v>33</v>
      </c>
    </row>
    <row r="3" spans="1:8" x14ac:dyDescent="0.25">
      <c r="A3" s="31">
        <v>2015</v>
      </c>
      <c r="B3" s="41">
        <v>1085</v>
      </c>
      <c r="C3" s="42">
        <v>6461</v>
      </c>
      <c r="D3" s="42">
        <v>0</v>
      </c>
      <c r="E3" s="41">
        <f>B3</f>
        <v>1085</v>
      </c>
      <c r="F3" s="42">
        <f t="shared" ref="F3:G3" si="0">C3</f>
        <v>6461</v>
      </c>
      <c r="G3" s="43">
        <f t="shared" si="0"/>
        <v>0</v>
      </c>
      <c r="H3" s="44">
        <f>IF(E3=0,0,AVERAGEIF(E3:E5,"&lt;&gt;0"))+IF(F3=0,0,AVERAGEIF(F3:F5,"&lt;&gt;0"))+IF(G3=0,0,AVERAGEIF(G3:G5,"&lt;&gt;0"))</f>
        <v>21251.449466666665</v>
      </c>
    </row>
    <row r="4" spans="1:8" x14ac:dyDescent="0.25">
      <c r="A4" s="31">
        <v>2014</v>
      </c>
      <c r="B4" s="41">
        <v>20000</v>
      </c>
      <c r="C4" s="42">
        <v>5717</v>
      </c>
      <c r="D4" s="42">
        <v>0</v>
      </c>
      <c r="E4" s="41">
        <f>B4*Pristalsregulering!$C$7</f>
        <v>20016</v>
      </c>
      <c r="F4" s="42">
        <f>C4*Pristalsregulering!$C$7</f>
        <v>5721.5735999999997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24000</v>
      </c>
      <c r="C5" s="42">
        <v>0</v>
      </c>
      <c r="D5" s="42">
        <v>0</v>
      </c>
      <c r="E5" s="41">
        <f>B5*Pristalsregulering!$C$7*Pristalsregulering!$C$6</f>
        <v>24379.487999999994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75</v>
      </c>
      <c r="C1" s="78"/>
      <c r="D1" s="79"/>
      <c r="E1" s="80" t="s">
        <v>76</v>
      </c>
      <c r="F1" s="80"/>
      <c r="G1" s="80"/>
    </row>
    <row r="2" spans="1:7" s="22" customFormat="1" ht="15.75" thickTop="1" x14ac:dyDescent="0.25">
      <c r="A2" s="71" t="s">
        <v>13</v>
      </c>
      <c r="B2" s="23" t="s">
        <v>74</v>
      </c>
      <c r="C2" s="23" t="s">
        <v>1</v>
      </c>
      <c r="D2" s="28" t="s">
        <v>84</v>
      </c>
      <c r="E2" s="22" t="s">
        <v>0</v>
      </c>
      <c r="F2" s="22" t="s">
        <v>1</v>
      </c>
      <c r="G2" s="22" t="s">
        <v>84</v>
      </c>
    </row>
    <row r="3" spans="1:7" s="22" customFormat="1" x14ac:dyDescent="0.25">
      <c r="A3" s="72">
        <v>2015</v>
      </c>
      <c r="B3" s="38">
        <v>9874347.330009697</v>
      </c>
      <c r="C3" s="38">
        <v>2099915.2683333335</v>
      </c>
      <c r="D3" s="40">
        <v>218807.75659999999</v>
      </c>
      <c r="E3" s="35">
        <f>B3*Pristalsregulering!C2*Pristalsregulering!C3*Pristalsregulering!C4*Pristalsregulering!C5*Pristalsregulering!C6*Pristalsregulering!C7</f>
        <v>10750191.718935717</v>
      </c>
      <c r="F3" s="35">
        <v>2172908.6875911499</v>
      </c>
      <c r="G3" s="35">
        <f xml:space="preserve"> D3/Pristalsregulering!$C$8</f>
        <v>219642.39771130294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45</v>
      </c>
      <c r="C1" s="76"/>
      <c r="D1" s="76"/>
      <c r="E1" s="76"/>
      <c r="F1" s="77" t="s">
        <v>62</v>
      </c>
      <c r="G1" s="78"/>
      <c r="H1" s="78"/>
      <c r="I1" s="78"/>
      <c r="J1" s="81" t="s">
        <v>33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46</v>
      </c>
      <c r="C2" s="7" t="s">
        <v>47</v>
      </c>
      <c r="D2" s="7" t="s">
        <v>48</v>
      </c>
      <c r="E2" s="51" t="s">
        <v>49</v>
      </c>
      <c r="F2" s="7" t="s">
        <v>46</v>
      </c>
      <c r="G2" s="7" t="s">
        <v>47</v>
      </c>
      <c r="H2" s="7" t="s">
        <v>48</v>
      </c>
      <c r="I2" s="51" t="s">
        <v>49</v>
      </c>
      <c r="J2" s="20" t="s">
        <v>50</v>
      </c>
      <c r="K2" s="20" t="s">
        <v>47</v>
      </c>
      <c r="L2" s="15" t="s">
        <v>79</v>
      </c>
      <c r="M2" s="6" t="s">
        <v>32</v>
      </c>
      <c r="N2" s="32"/>
    </row>
    <row r="3" spans="1:14" x14ac:dyDescent="0.25">
      <c r="A3" s="28">
        <v>2015</v>
      </c>
      <c r="B3" s="45">
        <v>0</v>
      </c>
      <c r="C3" s="38">
        <v>122128</v>
      </c>
      <c r="D3" s="38">
        <v>4261</v>
      </c>
      <c r="E3" s="40">
        <v>0</v>
      </c>
      <c r="F3" s="38">
        <f>B3</f>
        <v>0</v>
      </c>
      <c r="G3" s="38">
        <f>C3</f>
        <v>122128</v>
      </c>
      <c r="H3" s="38">
        <f>D3</f>
        <v>4261</v>
      </c>
      <c r="I3" s="40">
        <f>E3</f>
        <v>0</v>
      </c>
      <c r="J3" s="42">
        <f>AVERAGE(F3:F5)</f>
        <v>0</v>
      </c>
      <c r="K3" s="42">
        <f>G3</f>
        <v>122128</v>
      </c>
      <c r="L3" s="43">
        <f>AVERAGE(H3:H5)+AVERAGE(I3:I5)</f>
        <v>2202.2917333333335</v>
      </c>
      <c r="M3" s="44">
        <f>SUM(J3:L3)</f>
        <v>124330.29173333333</v>
      </c>
      <c r="N3" s="23"/>
    </row>
    <row r="4" spans="1:14" x14ac:dyDescent="0.25">
      <c r="A4" s="28">
        <v>2014</v>
      </c>
      <c r="B4" s="45">
        <v>0</v>
      </c>
      <c r="C4" s="38">
        <v>468401</v>
      </c>
      <c r="D4" s="38">
        <v>2344</v>
      </c>
      <c r="E4" s="40">
        <v>0</v>
      </c>
      <c r="F4" s="38">
        <f>IF(B4="","",B4*Pristalsregulering!$C$7)</f>
        <v>0</v>
      </c>
      <c r="G4" s="38">
        <f>IF(C4="","",C4*Pristalsregulering!$C$7)</f>
        <v>468775.72079999995</v>
      </c>
      <c r="H4" s="38">
        <f>IF(D4="","",D4*Pristalsregulering!$C$7)</f>
        <v>2345.8751999999999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180137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182985.32624399997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43</v>
      </c>
      <c r="L1" s="68" t="s">
        <v>63</v>
      </c>
      <c r="M1" s="69" t="s">
        <v>44</v>
      </c>
      <c r="N1" s="14" t="s">
        <v>32</v>
      </c>
    </row>
    <row r="2" spans="1:14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5107225</v>
      </c>
      <c r="F2" s="42">
        <v>0</v>
      </c>
      <c r="G2" s="42">
        <v>0</v>
      </c>
      <c r="H2" s="42">
        <v>0</v>
      </c>
      <c r="I2" s="42">
        <v>0</v>
      </c>
      <c r="J2" s="42"/>
      <c r="K2" s="42">
        <v>0</v>
      </c>
      <c r="L2" s="42"/>
      <c r="M2" s="43">
        <v>0</v>
      </c>
      <c r="N2" s="44">
        <f>SUM(B2:M2)</f>
        <v>5139748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51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51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64</v>
      </c>
      <c r="B1" s="64" t="s">
        <v>65</v>
      </c>
    </row>
    <row r="2" spans="1:2" x14ac:dyDescent="0.25">
      <c r="A2" s="23" t="s">
        <v>80</v>
      </c>
      <c r="B2" s="35">
        <v>765768.58480443852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66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57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58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2017-09-13T12:52:45Z</dcterms:modified>
</cp:coreProperties>
</file>