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K4" i="16" l="1"/>
  <c r="K5" i="16"/>
  <c r="K6" i="16"/>
  <c r="P3" i="16" l="1"/>
  <c r="B7" i="12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H4" i="16" l="1"/>
  <c r="I4" i="16"/>
  <c r="N3" i="16" s="1"/>
  <c r="J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H6" i="16"/>
  <c r="J5" i="16"/>
  <c r="J3" i="24"/>
  <c r="M3" i="24" s="1"/>
  <c r="G5" i="16"/>
  <c r="L3" i="16" s="1"/>
  <c r="J6" i="16"/>
  <c r="I5" i="16"/>
  <c r="G6" i="16"/>
  <c r="I6" i="16"/>
  <c r="M3" i="16" l="1"/>
  <c r="O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<sst xmlns="http://schemas.openxmlformats.org/spreadsheetml/2006/main" count="122" uniqueCount="80">
  <si>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</si>
  <si>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</si>
  <si>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</si>
  <si>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</si>
  <si>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</si>
  <si>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</si>
  <si>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</si>
  <si>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</si>
  <si>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</si>
  <si>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</si>
  <si>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</si>
  <si>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</si>
  <si>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</si>
  <si>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</si>
  <si>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</si>
  <si>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</si>
  <si>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</si>
  <si>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</si>
  <si>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</si>
  <si>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</si>
  <si>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</si>
  <si>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</si>
  <si>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</si>
  <si>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</si>
  <si>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Skovrejsning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</si>
  <si>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</si>
  <si>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</si>
  <si>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</si>
  <si>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</si>
  <si>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</si>
  <si>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</si>
  <si>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</si>
  <si>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</si>
  <si>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</si>
  <si>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</si>
  <si>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</si>
  <si>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</si>
  <si>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</si>
  <si>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</si>
  <si>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</si>
  <si>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</si>
  <si>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</si>
  <si>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</si>
  <si>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</si>
  <si>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</si>
  <si>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</si>
  <si>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</si>
  <si>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</si>
  <si>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</si>
  <si>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</si>
  <si>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</si>
  <si>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</si>
  <si>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</si>
  <si>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</si>
  <si>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</si>
  <si>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</si>
  <si>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</si>
  <si>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</si>
  <si>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</si>
  <si>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</si>
  <si>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</si>
  <si>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</si>
  <si>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</si>
  <si>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</si>
  <si>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</si>
  <si>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</si>
  <si>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</si>
  <si>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</si>
  <si>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</si>
  <si>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</si>
  <si>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</si>
  <si>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</si>
  <si>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Optimering af kildeplads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</si>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</sst>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3181258.9349838695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527820.43162108003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62689.32239999999</v>
      </c>
      <c r="C4" t="s">
        <v>11</v>
      </c>
    </row>
    <row r="5" spans="1:3" s="26" customFormat="1" x14ac:dyDescent="0.25">
      <c r="A5" s="3" t="s">
        <v>12</v>
      </c>
      <c r="B5" s="49">
        <f>SUM(B2:B4)</f>
        <v>3771768.6890049493</v>
      </c>
      <c r="C5" s="64" t="s">
        <v>11</v>
      </c>
    </row>
    <row r="6" spans="1:3" x14ac:dyDescent="0.25">
      <c r="A6" s="48" t="s">
        <v>0</v>
      </c>
      <c r="B6" s="39">
        <f>Investeringer!E3</f>
        <v>2311922.7333484818</v>
      </c>
      <c r="C6" s="23" t="s">
        <v>11</v>
      </c>
    </row>
    <row r="7" spans="1:3" x14ac:dyDescent="0.25">
      <c r="A7" s="4" t="s">
        <v>1</v>
      </c>
      <c r="B7" s="36">
        <f>Investeringer!F3</f>
        <v>1275124.9652285825</v>
      </c>
      <c r="C7" t="s">
        <v>11</v>
      </c>
    </row>
    <row r="8" spans="1:3" x14ac:dyDescent="0.25">
      <c r="A8" s="4" t="s">
        <v>2</v>
      </c>
      <c r="B8" s="36">
        <f>Investeringer!G3</f>
        <v>215612.60791005823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119954</v>
      </c>
      <c r="C9" t="s">
        <v>11</v>
      </c>
    </row>
    <row r="10" spans="1:3" s="22" customFormat="1" x14ac:dyDescent="0.25">
      <c r="A10" s="3" t="s">
        <v>51</v>
      </c>
      <c r="B10" s="49">
        <f>SUM(B6:B9)</f>
        <v>3922614.3064871226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4049610</v>
      </c>
      <c r="C11" t="s">
        <v>11</v>
      </c>
    </row>
    <row r="12" spans="1:3" s="22" customFormat="1" x14ac:dyDescent="0.25">
      <c r="A12" s="3" t="s">
        <v>73</v>
      </c>
      <c r="B12" s="49">
        <f>SUM(B11:B11)</f>
        <v>4049610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11743992.995492071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11847947.768049987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74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3477457.01</v>
      </c>
      <c r="C2" s="50">
        <v>0</v>
      </c>
      <c r="D2" s="50">
        <f>B2+C2</f>
        <v>3477457.01</v>
      </c>
      <c r="E2" s="51">
        <f>D2</f>
        <v>3477457.01</v>
      </c>
      <c r="F2" s="50">
        <v>3181258.9349838695</v>
      </c>
      <c r="G2" s="50">
        <v>0</v>
      </c>
      <c r="H2" s="50">
        <f>F2-G2</f>
        <v>3181258.9349838695</v>
      </c>
      <c r="I2" s="50">
        <f>AVERAGEIF(E2:E4,"&lt;&gt;0")</f>
        <v>3279744.4108986664</v>
      </c>
      <c r="J2" s="50">
        <v>2385800.4234308572</v>
      </c>
      <c r="K2" s="40">
        <f>IF(H2&gt;I2,IF(I2&gt;J2,I2,J2),H2)</f>
        <v>3181258.9349838695</v>
      </c>
    </row>
    <row r="3" spans="1:11" s="23" customFormat="1" x14ac:dyDescent="0.25">
      <c r="A3" s="28">
        <v>2014</v>
      </c>
      <c r="B3" s="50">
        <v>3280370</v>
      </c>
      <c r="C3" s="50"/>
      <c r="D3" s="50">
        <f t="shared" ref="D3:D4" si="0">B3+C3</f>
        <v>3280370</v>
      </c>
      <c r="E3" s="51">
        <f>D3*Pristalsregulering!C7</f>
        <v>3282994.2959999996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3030858</v>
      </c>
      <c r="C4" s="50"/>
      <c r="D4" s="50">
        <f t="shared" si="0"/>
        <v>3030858</v>
      </c>
      <c r="E4" s="51">
        <f>D4*Pristalsregulering!$C$6*Pristalsregulering!$C$7</f>
        <v>3078781.9266959992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T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22" customWidth="1"/>
    <col min="7" max="7" width="30.7109375" style="56" customWidth="1"/>
    <col min="8" max="10" width="30.7109375" customWidth="1"/>
    <col min="11" max="11" width="30.7109375" style="22" customWidth="1"/>
    <col min="12" max="12" width="30.7109375" style="56" customWidth="1"/>
    <col min="13" max="15" width="30.7109375" customWidth="1"/>
    <col min="16" max="16" width="30.7109375" style="22" customWidth="1"/>
    <col min="17" max="17" width="30.7109375" style="56" customWidth="1"/>
    <col min="18" max="19" width="9.140625" hidden="1" customWidth="1"/>
    <col min="20" max="104" width="0" hidden="1" customWidth="1"/>
    <col min="105" max="108" width="9.140625" hidden="1" customWidth="1"/>
    <col min="109" max="122" width="0" hidden="1" customWidth="1"/>
    <col min="123" max="127" width="9.140625" hidden="1" customWidth="1"/>
    <col min="128" max="191" width="0" hidden="1" customWidth="1"/>
    <col min="192" max="195" width="9.140625" hidden="1" customWidth="1"/>
    <col min="196" max="209" width="0" hidden="1" customWidth="1"/>
    <col min="210" max="216" width="9.140625" hidden="1" customWidth="1"/>
    <col min="217" max="227" width="0" hidden="1" customWidth="1"/>
    <col min="228" max="235" width="9.140625" hidden="1" customWidth="1"/>
    <col min="236" max="278" width="0" hidden="1" customWidth="1"/>
    <col min="279" max="282" width="9.140625" hidden="1" customWidth="1"/>
    <col min="283" max="296" width="0" hidden="1" customWidth="1"/>
    <col min="297" max="303" width="9.140625" hidden="1" customWidth="1"/>
    <col min="304" max="314" width="0" hidden="1" customWidth="1"/>
    <col min="315" max="324" width="9.140625" hidden="1" customWidth="1"/>
    <col min="325" max="332" width="0" hidden="1" customWidth="1"/>
    <col min="333" max="16384" width="9.140625" hidden="1"/>
  </cols>
  <sheetData>
    <row r="1" spans="1:17" s="27" customFormat="1" ht="15.75" thickBot="1" x14ac:dyDescent="0.3">
      <c r="A1" s="9"/>
      <c r="B1" s="33" t="s">
        <v>76</v>
      </c>
      <c r="C1" s="33"/>
      <c r="D1" s="33"/>
      <c r="E1" s="33"/>
      <c r="F1" s="33"/>
      <c r="G1" s="76" t="s">
        <v>77</v>
      </c>
      <c r="H1" s="77"/>
      <c r="I1" s="10"/>
      <c r="J1" s="10"/>
      <c r="K1" s="10"/>
      <c r="L1" s="76" t="s">
        <v>78</v>
      </c>
      <c r="M1" s="77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72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72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72</v>
      </c>
      <c r="Q2" s="54" t="s">
        <v>26</v>
      </c>
    </row>
    <row r="3" spans="1:17" s="22" customFormat="1" x14ac:dyDescent="0.25">
      <c r="A3" s="28">
        <v>2016</v>
      </c>
      <c r="B3" s="74">
        <v>0</v>
      </c>
      <c r="C3" s="75">
        <v>0</v>
      </c>
      <c r="D3" s="75">
        <v>22754</v>
      </c>
      <c r="E3" s="75">
        <v>0</v>
      </c>
      <c r="F3" s="75">
        <v>0</v>
      </c>
      <c r="G3" s="46">
        <f>B3/Pristalsregulering!$C$8</f>
        <v>0</v>
      </c>
      <c r="H3" s="36">
        <f>C3/Pristalsregulering!$C$8</f>
        <v>0</v>
      </c>
      <c r="I3" s="36">
        <f>D3/Pristalsregulering!$C$8</f>
        <v>22840.795021080106</v>
      </c>
      <c r="J3" s="36">
        <f>E3/Pristalsregulering!$C$8</f>
        <v>0</v>
      </c>
      <c r="K3" s="36">
        <f>F3/Pristalsregulering!$C$8</f>
        <v>0</v>
      </c>
      <c r="L3" s="46">
        <f>IF(G4=0,0,AVERAGEIF(G4:G6,"&lt;&gt;0"))+G3</f>
        <v>229959.15659999999</v>
      </c>
      <c r="M3" s="39">
        <f>IF(H4=0,0,AVERAGEIF(H4:H6,"&lt;&gt;0"))+H3</f>
        <v>119643.18</v>
      </c>
      <c r="N3" s="39">
        <f>IF(I4=0,0,AVERAGEIF(I4:I6,"&lt;&gt;0"))+I3</f>
        <v>22840.795021080106</v>
      </c>
      <c r="O3" s="39">
        <f>IF(J4=0,0,AVERAGEIF(J4:J6,"&lt;&gt;0"))+J3</f>
        <v>15142</v>
      </c>
      <c r="P3" s="39">
        <f>IF(K4=0,0,AVERAGEIF(K4:K6,"&lt;&gt;0"))+K3</f>
        <v>140235.29999999999</v>
      </c>
      <c r="Q3" s="59">
        <f>SUM(L3:P3)</f>
        <v>527820.43162108003</v>
      </c>
    </row>
    <row r="4" spans="1:17" x14ac:dyDescent="0.25">
      <c r="A4" s="28">
        <v>2015</v>
      </c>
      <c r="B4" s="36">
        <v>272514.51</v>
      </c>
      <c r="C4" s="36">
        <v>119643.18</v>
      </c>
      <c r="D4" s="36"/>
      <c r="E4" s="36">
        <v>15142</v>
      </c>
      <c r="F4" s="36">
        <v>140235.29999999999</v>
      </c>
      <c r="G4" s="46">
        <f>B4</f>
        <v>272514.51</v>
      </c>
      <c r="H4" s="36">
        <f>C4</f>
        <v>119643.18</v>
      </c>
      <c r="I4" s="36">
        <f t="shared" ref="I4:K4" si="0">D4</f>
        <v>0</v>
      </c>
      <c r="J4" s="36">
        <f t="shared" si="0"/>
        <v>15142</v>
      </c>
      <c r="K4" s="36">
        <f t="shared" si="0"/>
        <v>140235.29999999999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187254</v>
      </c>
      <c r="C5" s="36"/>
      <c r="D5" s="36"/>
      <c r="E5" s="36"/>
      <c r="F5" s="36"/>
      <c r="G5" s="46">
        <f>B5*Pristalsregulering!$C$7</f>
        <v>187403.80319999999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0</v>
      </c>
      <c r="K5" s="36">
        <f>F5*Pristalsregulering!$C$7</f>
        <v>0</v>
      </c>
      <c r="L5" s="46"/>
      <c r="M5" s="36"/>
      <c r="N5" s="36"/>
      <c r="O5" s="36"/>
      <c r="P5" s="39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9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mergeCells count="2">
    <mergeCell ref="G1:H1"/>
    <mergeCell ref="L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27</v>
      </c>
      <c r="C1" s="77"/>
      <c r="D1" s="77"/>
      <c r="E1" s="78" t="s">
        <v>57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12500</v>
      </c>
      <c r="C3" s="43">
        <v>51760</v>
      </c>
      <c r="D3" s="43">
        <v>0</v>
      </c>
      <c r="E3" s="42">
        <f>B3</f>
        <v>12500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62689.32239999999</v>
      </c>
    </row>
    <row r="4" spans="1:8" x14ac:dyDescent="0.25">
      <c r="A4" s="31">
        <v>2014</v>
      </c>
      <c r="B4" s="42">
        <v>23000</v>
      </c>
      <c r="C4" s="43">
        <v>39200</v>
      </c>
      <c r="D4" s="43">
        <v>0</v>
      </c>
      <c r="E4" s="42">
        <f>B4*Pristalsregulering!$C$7</f>
        <v>23018.399999999998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23000</v>
      </c>
      <c r="C5" s="43">
        <v>37600</v>
      </c>
      <c r="D5" s="43">
        <v>0</v>
      </c>
      <c r="E5" s="42">
        <f>B5*Pristalsregulering!$C$7*Pristalsregulering!$C$6</f>
        <v>23363.675999999996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70</v>
      </c>
      <c r="C1" s="79"/>
      <c r="D1" s="80"/>
      <c r="E1" s="81" t="s">
        <v>71</v>
      </c>
      <c r="F1" s="81"/>
      <c r="G1" s="81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9">
        <v>2123564.7387587596</v>
      </c>
      <c r="C3" s="39">
        <v>1241489.5466666664</v>
      </c>
      <c r="D3" s="41">
        <v>214793.28</v>
      </c>
      <c r="E3" s="36">
        <f>B3*Pristalsregulering!C2*Pristalsregulering!C3*Pristalsregulering!C4*Pristalsregulering!C5*Pristalsregulering!C6*Pristalsregulering!C7</f>
        <v>2311922.7333484818</v>
      </c>
      <c r="F3" s="36">
        <v>1275124.9652285825</v>
      </c>
      <c r="G3" s="36">
        <f xml:space="preserve"> D3/Pristalsregulering!$C$8</f>
        <v>215612.60791005823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44</v>
      </c>
      <c r="C1" s="77"/>
      <c r="D1" s="77"/>
      <c r="E1" s="77"/>
      <c r="F1" s="78" t="s">
        <v>58</v>
      </c>
      <c r="G1" s="79"/>
      <c r="H1" s="79"/>
      <c r="I1" s="79"/>
      <c r="J1" s="82" t="s">
        <v>32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119954</v>
      </c>
      <c r="D3" s="39">
        <v>0</v>
      </c>
      <c r="E3" s="41">
        <v>0</v>
      </c>
      <c r="F3" s="39">
        <f>B3</f>
        <v>0</v>
      </c>
      <c r="G3" s="39">
        <f>C3</f>
        <v>119954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119954</v>
      </c>
      <c r="L3" s="44">
        <f>AVERAGE(H3:H5)+AVERAGE(I3:I5)</f>
        <v>0</v>
      </c>
      <c r="M3" s="45">
        <f>SUM(J3:L3)</f>
        <v>119954</v>
      </c>
      <c r="N3" s="23"/>
    </row>
    <row r="4" spans="1:14" x14ac:dyDescent="0.25">
      <c r="A4" s="28">
        <v>2014</v>
      </c>
      <c r="B4" s="46">
        <v>0</v>
      </c>
      <c r="C4" s="39">
        <v>113198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113288.55839999999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11028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11202.374735999998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42</v>
      </c>
      <c r="L1" s="68" t="s">
        <v>60</v>
      </c>
      <c r="M1" s="69" t="s">
        <v>43</v>
      </c>
      <c r="N1" s="14" t="s">
        <v>31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4017087</v>
      </c>
      <c r="H2" s="43" t="s">
        <v>50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4049610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2017-09-13T12:55:00Z</dcterms:modified>
</cp:coreProperties>
</file>