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E15" i="22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<sst xmlns="http://schemas.openxmlformats.org/spreadsheetml/2006/main" count="310" uniqueCount="155">
  <si>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</si>
  <si>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</si>
  <si>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</si>
  <si>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</si>
  <si>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</si>
  <si>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</si>
  <si>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</si>
  <si>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</si>
  <si>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</si>
  <si>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</si>
  <si>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</si>
  <si>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</si>
  <si>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</si>
  <si>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</si>
  <si>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</si>
  <si>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</si>
  <si>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</si>
  <si>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</si>
  <si>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</si>
  <si>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</si>
  <si>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</si>
  <si>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</si>
  <si>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</si>
  <si>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</si>
  <si>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</si>
  <si>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</si>
  <si>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</si>
  <si>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</si>
  <si>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</si>
  <si>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</si>
  <si>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</si>
  <si>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</si>
  <si>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</si>
  <si>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</si>
  <si>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</si>
  <si>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</si>
  <si>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</si>
  <si>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</si>
  <si>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</si>
  <si>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</si>
  <si>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</si>
  <si>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</si>
  <si>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</si>
  <si>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</si>
  <si>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</si>
  <si>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</si>
  <si>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</si>
  <si>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</si>
  <si>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</si>
  <si>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</si>
  <si>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</si>
  <si>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</si>
  <si>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</si>
  <si>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</si>
  <si>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</si>
  <si>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</si>
  <si>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</si>
  <si>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</si>
  <si>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</si>
  <si>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</si>
  <si>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</si>
  <si>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</si>
  <si>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</si>
  <si>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</si>
  <si>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</si>
  <si>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</si>
  <si>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</si>
  <si>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</si>
  <si>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</si>
  <si>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</si>
  <si>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</si>
  <si>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</si>
  <si>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</si>
  <si>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</si>
  <si>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</si>
  <si>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</si>
  <si>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</si>
  <si>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</si>
  <si>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</si>
  <si>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</si>
  <si>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</si>
  <si>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</si>
  <si>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</si>
  <si>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</si>
  <si>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</si>
  <si>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</si>
  <si>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</si>
  <si>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</si>
  <si>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</si>
  <si>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</si>
  <si>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</si>
  <si>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</si>
  <si>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</si>
  <si>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</si>
  <si>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</si>
  <si>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</si>
  <si>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</si>
  <si>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</si>
  <si>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</si>
  <si>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</si>
  <si>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</si>
  <si>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</si>
  <si>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</si>
  <si>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</si>
  <si>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</si>
  <si>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</si>
  <si>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</si>
  <si>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</si>
  <si>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</si>
  <si>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</si>
  <si>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</si>
  <si>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</si>
  <si>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</si>
  <si>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</si>
  <si>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</si>
  <si>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</si>
  <si>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</si>
  <si>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</si>
  <si>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≤ Ø 110mm (Qn 10)</t>
  </si>
  <si>
    <t>Ø110 mm &lt; Ledningsnet ≤ Ø 250 mm</t>
  </si>
  <si>
    <t>SRO-brønd/kvarterbrønd/sektionsbrønd, Konstruktioner</t>
  </si>
  <si>
    <t>Pumpestation (inkl. evt. hydrofor)/trykforøger, Konstruktioner</t>
  </si>
  <si>
    <t>Skelbrønd, Konstruktioner</t>
  </si>
  <si>
    <t>Instrumenter (flowmåler+tryk transducer+alarmer)</t>
  </si>
  <si>
    <t>Pumpestation (inkl. evt. hydrofor)/trykforøger, Mek./EL</t>
  </si>
  <si>
    <t>Filteranlæg, åbne filtre, dobbelt filtrering,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</si>
  <si>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</si>
  <si>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</si>
  <si>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</si>
  <si>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</si>
  <si>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</si>
  <si>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</si>
  <si>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</si>
  <si>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</si>
  <si>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</si>
  <si>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 xml:space="preserve">kr.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</si>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</sst>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3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165" fontId="8" fillId="9" borderId="1" xfId="1" applyNumberFormat="1" applyFont="1" applyFill="1" applyBorder="1" applyAlignment="1" applyProtection="1"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5" t="s">
        <v>5</v>
      </c>
      <c r="E6" s="65"/>
      <c r="F6" s="65"/>
      <c r="G6" s="65"/>
      <c r="H6" s="4"/>
      <c r="I6" s="2"/>
    </row>
    <row r="7" spans="1:9" ht="15" customHeight="1" x14ac:dyDescent="0.25">
      <c r="A7" s="2"/>
      <c r="B7" s="2"/>
      <c r="C7" s="4"/>
      <c r="D7" s="65"/>
      <c r="E7" s="65"/>
      <c r="F7" s="65"/>
      <c r="G7" s="65"/>
      <c r="H7" s="4"/>
      <c r="I7" s="2"/>
    </row>
    <row r="8" spans="1:9" ht="15.75" x14ac:dyDescent="0.25">
      <c r="A8" s="2"/>
      <c r="B8" s="2"/>
      <c r="C8" s="5"/>
      <c r="D8" s="70" t="s">
        <v>117</v>
      </c>
      <c r="E8" s="70"/>
      <c r="F8" s="70"/>
      <c r="G8" s="70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9" t="s">
        <v>6</v>
      </c>
      <c r="E11" s="69"/>
      <c r="F11" s="69"/>
      <c r="G11" s="69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7" t="s">
        <v>110</v>
      </c>
      <c r="E13" s="78"/>
      <c r="F13" s="78"/>
      <c r="G13" s="79"/>
      <c r="H13" s="2"/>
      <c r="I13" s="2"/>
    </row>
    <row r="14" spans="1:9" x14ac:dyDescent="0.25">
      <c r="A14" s="2"/>
      <c r="B14" s="2"/>
      <c r="C14" s="7" t="s">
        <v>7</v>
      </c>
      <c r="D14" s="71" t="s">
        <v>50</v>
      </c>
      <c r="E14" s="72"/>
      <c r="F14" s="72"/>
      <c r="G14" s="73"/>
      <c r="H14" s="2"/>
      <c r="I14" s="2"/>
    </row>
    <row r="15" spans="1:9" x14ac:dyDescent="0.25">
      <c r="A15" s="2"/>
      <c r="B15" s="2"/>
      <c r="C15" s="7" t="s">
        <v>8</v>
      </c>
      <c r="D15" s="71" t="s">
        <v>43</v>
      </c>
      <c r="E15" s="72"/>
      <c r="F15" s="72"/>
      <c r="G15" s="73"/>
      <c r="H15" s="2"/>
      <c r="I15" s="2"/>
    </row>
    <row r="16" spans="1:9" x14ac:dyDescent="0.25">
      <c r="A16" s="2"/>
      <c r="B16" s="2"/>
      <c r="C16" s="7" t="s">
        <v>9</v>
      </c>
      <c r="D16" s="74" t="s">
        <v>16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66" t="s">
        <v>53</v>
      </c>
      <c r="E17" s="67"/>
      <c r="F17" s="67"/>
      <c r="G17" s="68"/>
      <c r="H17" s="2"/>
      <c r="I17" s="2"/>
    </row>
    <row r="18" spans="1:9" x14ac:dyDescent="0.25">
      <c r="A18" s="2"/>
      <c r="B18" s="2"/>
      <c r="C18" s="7" t="s">
        <v>11</v>
      </c>
      <c r="D18" s="66" t="s">
        <v>71</v>
      </c>
      <c r="E18" s="67"/>
      <c r="F18" s="67"/>
      <c r="G18" s="68"/>
      <c r="H18" s="2"/>
      <c r="I18" s="2"/>
    </row>
    <row r="19" spans="1:9" x14ac:dyDescent="0.25">
      <c r="A19" s="2"/>
      <c r="B19" s="2"/>
      <c r="C19" s="7" t="s">
        <v>12</v>
      </c>
      <c r="D19" s="59" t="s">
        <v>92</v>
      </c>
      <c r="E19" s="60"/>
      <c r="F19" s="60"/>
      <c r="G19" s="61"/>
      <c r="H19" s="2"/>
      <c r="I19" s="2"/>
    </row>
    <row r="20" spans="1:9" x14ac:dyDescent="0.25">
      <c r="A20" s="2"/>
      <c r="B20" s="2"/>
      <c r="C20" s="7" t="s">
        <v>13</v>
      </c>
      <c r="D20" s="62" t="s">
        <v>52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48</v>
      </c>
      <c r="D21" s="62" t="s">
        <v>51</v>
      </c>
      <c r="E21" s="63"/>
      <c r="F21" s="63"/>
      <c r="G21" s="64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116</v>
      </c>
      <c r="C3" s="95"/>
      <c r="D3" s="95"/>
      <c r="E3" s="95"/>
      <c r="F3" s="95"/>
      <c r="G3" s="95"/>
      <c r="H3" s="2"/>
    </row>
    <row r="4" spans="1:8" ht="25.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79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32" t="s">
        <v>80</v>
      </c>
      <c r="C9" s="33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2" t="s">
        <v>84</v>
      </c>
      <c r="C11" s="94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2" t="s">
        <v>94</v>
      </c>
      <c r="C12" s="94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83"/>
      <c r="J3" s="83"/>
      <c r="K3" s="2"/>
    </row>
    <row r="4" spans="1:11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2"/>
    </row>
    <row r="5" spans="1:11" x14ac:dyDescent="0.25">
      <c r="A5" s="2"/>
      <c r="B5" s="84" t="s">
        <v>99</v>
      </c>
      <c r="C5" s="84"/>
      <c r="D5" s="84"/>
      <c r="E5" s="84"/>
      <c r="F5" s="84"/>
      <c r="G5" s="84"/>
      <c r="H5" s="84"/>
      <c r="I5" s="84"/>
      <c r="J5" s="84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5" t="s">
        <v>100</v>
      </c>
      <c r="C9" s="86"/>
      <c r="D9" s="87"/>
      <c r="E9" s="50">
        <v>119404036.35415706</v>
      </c>
      <c r="F9" s="13" t="s">
        <v>4</v>
      </c>
      <c r="G9" s="51" t="s">
        <v>101</v>
      </c>
      <c r="H9" s="13" t="s">
        <v>4</v>
      </c>
      <c r="I9" s="2"/>
      <c r="J9" s="2"/>
      <c r="K9" s="2"/>
    </row>
    <row r="10" spans="1:11" x14ac:dyDescent="0.25">
      <c r="A10" s="2"/>
      <c r="B10" s="88" t="s">
        <v>72</v>
      </c>
      <c r="C10" s="81"/>
      <c r="D10" s="82"/>
      <c r="E10" s="40" t="s">
        <v>101</v>
      </c>
      <c r="F10" s="8" t="s">
        <v>4</v>
      </c>
      <c r="G10" s="41">
        <f>'Fane 3. Korrigeret grundlag'!G9*(1+'Fane 2. Overblik ØR18-19'!E30/100)</f>
        <v>28144821.03049669</v>
      </c>
      <c r="H10" s="8" t="s">
        <v>4</v>
      </c>
      <c r="I10" s="2"/>
      <c r="J10" s="2"/>
      <c r="K10" s="2"/>
    </row>
    <row r="11" spans="1:11" x14ac:dyDescent="0.25">
      <c r="A11" s="2"/>
      <c r="B11" s="46" t="s">
        <v>73</v>
      </c>
      <c r="C11" s="44"/>
      <c r="D11" s="45"/>
      <c r="E11" s="40" t="s">
        <v>101</v>
      </c>
      <c r="F11" s="8" t="s">
        <v>4</v>
      </c>
      <c r="G11" s="41">
        <f>'Fane 3. Korrigeret grundlag'!G10*(1+'Fane 2. Overblik ØR18-19'!E30/100)</f>
        <v>48441388.410314262</v>
      </c>
      <c r="H11" s="8" t="s">
        <v>4</v>
      </c>
      <c r="I11" s="2"/>
      <c r="J11" s="2"/>
      <c r="K11" s="2"/>
    </row>
    <row r="12" spans="1:11" x14ac:dyDescent="0.25">
      <c r="A12" s="2"/>
      <c r="B12" s="46" t="s">
        <v>90</v>
      </c>
      <c r="C12" s="44"/>
      <c r="D12" s="45"/>
      <c r="E12" s="40" t="s">
        <v>101</v>
      </c>
      <c r="F12" s="8" t="s">
        <v>4</v>
      </c>
      <c r="G12" s="41">
        <f>'Fane 3. Korrigeret grundlag'!G11*(1+'Fane 2. Overblik ØR18-19'!E30/100)</f>
        <v>46850530.098802149</v>
      </c>
      <c r="H12" s="8" t="s">
        <v>4</v>
      </c>
      <c r="I12" s="2"/>
      <c r="J12" s="2"/>
      <c r="K12" s="2"/>
    </row>
    <row r="13" spans="1:11" x14ac:dyDescent="0.25">
      <c r="A13" s="2"/>
      <c r="B13" s="46" t="s">
        <v>153</v>
      </c>
      <c r="C13" s="44"/>
      <c r="D13" s="45"/>
      <c r="E13" s="40" t="s">
        <v>101</v>
      </c>
      <c r="F13" s="8" t="s">
        <v>4</v>
      </c>
      <c r="G13" s="41">
        <v>-1798417.3287169649</v>
      </c>
      <c r="H13" s="8" t="s">
        <v>4</v>
      </c>
      <c r="I13" s="2"/>
      <c r="J13" s="2"/>
      <c r="K13" s="2"/>
    </row>
    <row r="14" spans="1:11" x14ac:dyDescent="0.25">
      <c r="A14" s="2"/>
      <c r="B14" s="58" t="s">
        <v>152</v>
      </c>
      <c r="C14" s="56"/>
      <c r="D14" s="57"/>
      <c r="E14" s="40" t="s">
        <v>101</v>
      </c>
      <c r="F14" s="8" t="s">
        <v>4</v>
      </c>
      <c r="G14" s="41">
        <v>-2108045.4494002359</v>
      </c>
      <c r="H14" s="8" t="s">
        <v>4</v>
      </c>
      <c r="I14" s="2"/>
      <c r="J14" s="2"/>
      <c r="K14" s="2"/>
    </row>
    <row r="15" spans="1:11" x14ac:dyDescent="0.25">
      <c r="A15" s="2"/>
      <c r="B15" s="88" t="s">
        <v>102</v>
      </c>
      <c r="C15" s="81"/>
      <c r="D15" s="82"/>
      <c r="E15" s="41">
        <f>'Fane 4. Ikke-påvirkelige omk.'!G20</f>
        <v>-3158130.9092245055</v>
      </c>
      <c r="F15" s="8" t="s">
        <v>4</v>
      </c>
      <c r="G15" s="48">
        <f>E15*(1+E30/100)</f>
        <v>-3213398.2001359346</v>
      </c>
      <c r="H15" s="8" t="s">
        <v>4</v>
      </c>
      <c r="I15" s="2"/>
      <c r="J15" s="2"/>
      <c r="K15" s="2"/>
    </row>
    <row r="16" spans="1:11" x14ac:dyDescent="0.25">
      <c r="A16" s="2"/>
      <c r="B16" s="88" t="s">
        <v>71</v>
      </c>
      <c r="C16" s="81"/>
      <c r="D16" s="82"/>
      <c r="E16" s="40" t="s">
        <v>101</v>
      </c>
      <c r="F16" s="8" t="s">
        <v>4</v>
      </c>
      <c r="G16" s="48">
        <f>SUM('Fane 7. Korrektion af PL2016'!G11,'Fane 7. Korrektion af PL2016'!G17,'Fane 7. Korrektion af PL2016'!G23,'Fane 7. Korrektion af PL2016'!G29)</f>
        <v>-4064123.0903333332</v>
      </c>
      <c r="H16" s="8" t="s">
        <v>4</v>
      </c>
      <c r="I16" s="2"/>
      <c r="J16" s="2"/>
      <c r="K16" s="2"/>
    </row>
    <row r="17" spans="1:11" x14ac:dyDescent="0.25">
      <c r="A17" s="2"/>
      <c r="B17" s="88" t="s">
        <v>103</v>
      </c>
      <c r="C17" s="81"/>
      <c r="D17" s="82"/>
      <c r="E17" s="40" t="s">
        <v>101</v>
      </c>
      <c r="F17" s="8" t="s">
        <v>4</v>
      </c>
      <c r="G17" s="41">
        <f>'Fane 8. Kontrol af PL2016'!G36</f>
        <v>17646178.297003284</v>
      </c>
      <c r="H17" s="8" t="s">
        <v>4</v>
      </c>
      <c r="I17" s="2"/>
      <c r="J17" s="2"/>
      <c r="K17" s="2"/>
    </row>
    <row r="18" spans="1:11" x14ac:dyDescent="0.25">
      <c r="A18" s="2"/>
      <c r="B18" s="80" t="s">
        <v>104</v>
      </c>
      <c r="C18" s="81"/>
      <c r="D18" s="82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80" t="s">
        <v>105</v>
      </c>
      <c r="C19" s="81"/>
      <c r="D19" s="82"/>
      <c r="E19" s="48">
        <f>'Fane 9. Tillæg'!F12</f>
        <v>0</v>
      </c>
      <c r="F19" s="8" t="s">
        <v>4</v>
      </c>
      <c r="G19" s="48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136</v>
      </c>
      <c r="C20" s="34"/>
      <c r="D20" s="35"/>
      <c r="E20" s="48">
        <f>'Fane 9. Tillæg'!F19</f>
        <v>0</v>
      </c>
      <c r="F20" s="8" t="s">
        <v>4</v>
      </c>
      <c r="G20" s="48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80" t="s">
        <v>106</v>
      </c>
      <c r="C21" s="81"/>
      <c r="D21" s="82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80" t="s">
        <v>106</v>
      </c>
      <c r="C22" s="81"/>
      <c r="D22" s="82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80" t="s">
        <v>49</v>
      </c>
      <c r="C23" s="81"/>
      <c r="D23" s="82"/>
      <c r="E23" s="41">
        <f>SUM(E15:E20)*E30/100</f>
        <v>-55267.290911428841</v>
      </c>
      <c r="F23" s="8" t="s">
        <v>4</v>
      </c>
      <c r="G23" s="41">
        <f>SUM(G10:G15,G18:G22)*$E$30/100</f>
        <v>2035545.3748237994</v>
      </c>
      <c r="H23" s="8" t="s">
        <v>4</v>
      </c>
      <c r="I23" s="2"/>
      <c r="J23" s="2"/>
      <c r="K23" s="2"/>
    </row>
    <row r="24" spans="1:11" x14ac:dyDescent="0.25">
      <c r="A24" s="2"/>
      <c r="B24" s="80" t="s">
        <v>15</v>
      </c>
      <c r="C24" s="81"/>
      <c r="D24" s="82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-1370601.2387215388</v>
      </c>
      <c r="H24" s="8" t="s">
        <v>4</v>
      </c>
      <c r="I24" s="2"/>
      <c r="J24" s="2"/>
      <c r="K24" s="2"/>
    </row>
    <row r="25" spans="1:11" x14ac:dyDescent="0.25">
      <c r="A25" s="2"/>
      <c r="B25" s="80" t="s">
        <v>14</v>
      </c>
      <c r="C25" s="81"/>
      <c r="D25" s="82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-948361.56859028991</v>
      </c>
      <c r="H25" s="8" t="s">
        <v>4</v>
      </c>
      <c r="I25" s="2"/>
      <c r="J25" s="2"/>
      <c r="K25" s="2"/>
    </row>
    <row r="26" spans="1:11" x14ac:dyDescent="0.25">
      <c r="A26" s="2"/>
      <c r="B26" s="80" t="s">
        <v>16</v>
      </c>
      <c r="C26" s="81"/>
      <c r="D26" s="82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9">
        <f>SUM(E9:E25)</f>
        <v>116190638.15402111</v>
      </c>
      <c r="F27" s="38" t="s">
        <v>4</v>
      </c>
      <c r="G27" s="52">
        <f>SUM(G10:G26)</f>
        <v>129615516.3355419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80" t="s">
        <v>143</v>
      </c>
      <c r="C30" s="81"/>
      <c r="D30" s="82"/>
      <c r="E30" s="53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80" t="s">
        <v>144</v>
      </c>
      <c r="C31" s="81"/>
      <c r="D31" s="82"/>
      <c r="E31" s="53">
        <v>1.2824077194254129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80" t="s">
        <v>36</v>
      </c>
      <c r="C32" s="81"/>
      <c r="D32" s="82"/>
      <c r="E32" s="53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80" t="s">
        <v>145</v>
      </c>
      <c r="C33" s="81"/>
      <c r="D33" s="82"/>
      <c r="E33" s="53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96</v>
      </c>
      <c r="C3" s="95"/>
      <c r="D3" s="95"/>
      <c r="E3" s="95"/>
      <c r="F3" s="95"/>
      <c r="G3" s="95"/>
      <c r="H3" s="95"/>
      <c r="I3" s="2"/>
    </row>
    <row r="4" spans="1:9" ht="29.2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97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0" t="s">
        <v>72</v>
      </c>
      <c r="C9" s="81"/>
      <c r="D9" s="81"/>
      <c r="E9" s="81"/>
      <c r="F9" s="82"/>
      <c r="G9" s="21">
        <v>27660757.769529916</v>
      </c>
      <c r="H9" s="17" t="s">
        <v>4</v>
      </c>
      <c r="I9" s="2"/>
    </row>
    <row r="10" spans="1:9" x14ac:dyDescent="0.25">
      <c r="A10" s="2"/>
      <c r="B10" s="80" t="s">
        <v>73</v>
      </c>
      <c r="C10" s="81"/>
      <c r="D10" s="81"/>
      <c r="E10" s="81"/>
      <c r="F10" s="82"/>
      <c r="G10" s="21">
        <v>47608244.137900993</v>
      </c>
      <c r="H10" s="17" t="s">
        <v>4</v>
      </c>
      <c r="I10" s="2"/>
    </row>
    <row r="11" spans="1:9" x14ac:dyDescent="0.25">
      <c r="A11" s="2"/>
      <c r="B11" s="80" t="s">
        <v>90</v>
      </c>
      <c r="C11" s="81"/>
      <c r="D11" s="81"/>
      <c r="E11" s="81"/>
      <c r="F11" s="82"/>
      <c r="G11" s="21">
        <v>46044747.025849774</v>
      </c>
      <c r="H11" s="17" t="s">
        <v>4</v>
      </c>
      <c r="I11" s="2"/>
    </row>
    <row r="12" spans="1:9" ht="17.25" customHeight="1" x14ac:dyDescent="0.25">
      <c r="A12" s="2"/>
      <c r="B12" s="89" t="s">
        <v>93</v>
      </c>
      <c r="C12" s="90"/>
      <c r="D12" s="90"/>
      <c r="E12" s="90"/>
      <c r="F12" s="91"/>
      <c r="G12" s="15">
        <f>SUM(G9:G11)</f>
        <v>121313748.93328069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75</v>
      </c>
      <c r="C8" s="93"/>
      <c r="D8" s="93"/>
      <c r="E8" s="93"/>
      <c r="F8" s="93"/>
      <c r="G8" s="93"/>
      <c r="H8" s="94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6" t="s">
        <v>126</v>
      </c>
      <c r="C10" s="97"/>
      <c r="D10" s="97"/>
      <c r="E10" s="54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6" t="s">
        <v>127</v>
      </c>
      <c r="C11" s="97"/>
      <c r="D11" s="97"/>
      <c r="E11" s="54">
        <v>0</v>
      </c>
      <c r="F11" s="17" t="s">
        <v>4</v>
      </c>
      <c r="G11" s="21">
        <v>92273</v>
      </c>
      <c r="H11" s="17" t="s">
        <v>4</v>
      </c>
      <c r="I11" s="2"/>
    </row>
    <row r="12" spans="1:9" x14ac:dyDescent="0.25">
      <c r="A12" s="2"/>
      <c r="B12" s="96" t="s">
        <v>128</v>
      </c>
      <c r="C12" s="97"/>
      <c r="D12" s="97"/>
      <c r="E12" s="54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6" t="s">
        <v>129</v>
      </c>
      <c r="C13" s="97"/>
      <c r="D13" s="97"/>
      <c r="E13" s="54">
        <v>32399.4126</v>
      </c>
      <c r="F13" s="17" t="s">
        <v>4</v>
      </c>
      <c r="G13" s="21">
        <v>122938</v>
      </c>
      <c r="H13" s="17" t="s">
        <v>4</v>
      </c>
      <c r="I13" s="2"/>
    </row>
    <row r="14" spans="1:9" x14ac:dyDescent="0.25">
      <c r="A14" s="2"/>
      <c r="B14" s="96" t="s">
        <v>130</v>
      </c>
      <c r="C14" s="97"/>
      <c r="D14" s="97"/>
      <c r="E14" s="54">
        <v>44905969.400600001</v>
      </c>
      <c r="F14" s="17" t="s">
        <v>4</v>
      </c>
      <c r="G14" s="21">
        <v>41560763</v>
      </c>
      <c r="H14" s="17" t="s">
        <v>4</v>
      </c>
      <c r="I14" s="2"/>
    </row>
    <row r="15" spans="1:9" x14ac:dyDescent="0.25">
      <c r="A15" s="2"/>
      <c r="B15" s="96" t="s">
        <v>131</v>
      </c>
      <c r="C15" s="97"/>
      <c r="D15" s="97"/>
      <c r="E15" s="54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6" t="s">
        <v>132</v>
      </c>
      <c r="C16" s="97"/>
      <c r="D16" s="97"/>
      <c r="E16" s="54">
        <v>528943.34820000001</v>
      </c>
      <c r="F16" s="17" t="s">
        <v>4</v>
      </c>
      <c r="G16" s="21">
        <v>562981</v>
      </c>
      <c r="H16" s="17" t="s">
        <v>4</v>
      </c>
      <c r="I16" s="2"/>
    </row>
    <row r="17" spans="1:9" x14ac:dyDescent="0.25">
      <c r="A17" s="2"/>
      <c r="B17" s="96" t="s">
        <v>133</v>
      </c>
      <c r="C17" s="97"/>
      <c r="D17" s="97"/>
      <c r="E17" s="54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8" t="s">
        <v>134</v>
      </c>
      <c r="C18" s="99"/>
      <c r="D18" s="99"/>
      <c r="E18" s="54">
        <v>0</v>
      </c>
      <c r="F18" s="43" t="s">
        <v>135</v>
      </c>
      <c r="G18" s="54">
        <v>24543</v>
      </c>
      <c r="H18" s="43" t="s">
        <v>135</v>
      </c>
      <c r="I18" s="2"/>
    </row>
    <row r="19" spans="1:9" x14ac:dyDescent="0.25">
      <c r="A19" s="2"/>
      <c r="B19" s="92" t="s">
        <v>86</v>
      </c>
      <c r="C19" s="93"/>
      <c r="D19" s="93"/>
      <c r="E19" s="93"/>
      <c r="F19" s="94"/>
      <c r="G19" s="15">
        <f>SUM(G10:G18)-SUM(E10:E18)</f>
        <v>-3103814.1614000052</v>
      </c>
      <c r="H19" s="16" t="s">
        <v>4</v>
      </c>
      <c r="I19" s="2"/>
    </row>
    <row r="20" spans="1:9" x14ac:dyDescent="0.25">
      <c r="A20" s="2"/>
      <c r="B20" s="92" t="s">
        <v>87</v>
      </c>
      <c r="C20" s="93"/>
      <c r="D20" s="93"/>
      <c r="E20" s="93"/>
      <c r="F20" s="94"/>
      <c r="G20" s="15">
        <f>G19*(1+'Fane 2. Overblik ØR18-19'!E30/100)</f>
        <v>-3158130.9092245055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111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45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0" t="s">
        <v>38</v>
      </c>
      <c r="C9" s="81"/>
      <c r="D9" s="81"/>
      <c r="E9" s="81"/>
      <c r="F9" s="82"/>
      <c r="G9" s="21">
        <v>-8431000</v>
      </c>
      <c r="H9" s="17" t="s">
        <v>4</v>
      </c>
      <c r="I9" s="2"/>
    </row>
    <row r="10" spans="1:9" x14ac:dyDescent="0.25">
      <c r="A10" s="2"/>
      <c r="B10" s="80" t="s">
        <v>81</v>
      </c>
      <c r="C10" s="81"/>
      <c r="D10" s="81"/>
      <c r="E10" s="81"/>
      <c r="F10" s="82"/>
      <c r="G10" s="21">
        <v>-8431000</v>
      </c>
      <c r="H10" s="17" t="s">
        <v>4</v>
      </c>
      <c r="I10" s="2"/>
    </row>
    <row r="11" spans="1:9" x14ac:dyDescent="0.25">
      <c r="A11" s="2"/>
      <c r="B11" s="100" t="s">
        <v>41</v>
      </c>
      <c r="C11" s="101"/>
      <c r="D11" s="101"/>
      <c r="E11" s="101"/>
      <c r="F11" s="102"/>
      <c r="G11" s="55">
        <f>G9-G10</f>
        <v>0</v>
      </c>
      <c r="H11" s="26" t="s">
        <v>4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21">
        <v>0</v>
      </c>
      <c r="H12" s="17" t="s">
        <v>82</v>
      </c>
      <c r="I12" s="2"/>
    </row>
    <row r="13" spans="1:9" x14ac:dyDescent="0.25">
      <c r="A13" s="2"/>
      <c r="B13" s="92" t="s">
        <v>37</v>
      </c>
      <c r="C13" s="93"/>
      <c r="D13" s="93"/>
      <c r="E13" s="93"/>
      <c r="F13" s="94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112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53</v>
      </c>
      <c r="C8" s="93"/>
      <c r="D8" s="93"/>
      <c r="E8" s="93"/>
      <c r="F8" s="93"/>
      <c r="G8" s="94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3" t="s">
        <v>3</v>
      </c>
      <c r="G9" s="103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10</v>
      </c>
      <c r="E10" s="21">
        <v>4201067.7300000004</v>
      </c>
      <c r="F10" s="9">
        <f>E10/D10</f>
        <v>420106.77300000004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7792871.6699999999</v>
      </c>
      <c r="F11" s="9">
        <f t="shared" ref="F11:F17" si="0">E11/D11</f>
        <v>103904.9556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50</v>
      </c>
      <c r="E12" s="21">
        <v>285807.37</v>
      </c>
      <c r="F12" s="9">
        <f t="shared" si="0"/>
        <v>5716.1473999999998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273041.77</v>
      </c>
      <c r="F13" s="9">
        <f t="shared" si="0"/>
        <v>5460.8353999999999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50</v>
      </c>
      <c r="E14" s="21">
        <v>66369.83</v>
      </c>
      <c r="F14" s="9">
        <f t="shared" si="0"/>
        <v>1327.3966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10</v>
      </c>
      <c r="E15" s="21">
        <v>94750</v>
      </c>
      <c r="F15" s="9">
        <f t="shared" si="0"/>
        <v>9475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25</v>
      </c>
      <c r="E16" s="21">
        <v>1730889.96</v>
      </c>
      <c r="F16" s="9">
        <f t="shared" si="0"/>
        <v>69235.598400000003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50</v>
      </c>
      <c r="E17" s="21">
        <v>1620945.83</v>
      </c>
      <c r="F17" s="9">
        <f t="shared" si="0"/>
        <v>32418.9166</v>
      </c>
      <c r="G17" s="17" t="s">
        <v>4</v>
      </c>
      <c r="H17" s="2"/>
    </row>
    <row r="18" spans="1:8" x14ac:dyDescent="0.25">
      <c r="A18" s="2"/>
      <c r="B18" s="92" t="s">
        <v>54</v>
      </c>
      <c r="C18" s="93"/>
      <c r="D18" s="93"/>
      <c r="E18" s="94"/>
      <c r="F18" s="15">
        <f>SUM(F10:F17)</f>
        <v>647645.62300000002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113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146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0" t="s">
        <v>55</v>
      </c>
      <c r="C9" s="81"/>
      <c r="D9" s="81"/>
      <c r="E9" s="81"/>
      <c r="F9" s="82"/>
      <c r="G9" s="21">
        <v>42585455</v>
      </c>
      <c r="H9" s="17" t="s">
        <v>4</v>
      </c>
      <c r="I9" s="2"/>
    </row>
    <row r="10" spans="1:9" x14ac:dyDescent="0.25">
      <c r="A10" s="2"/>
      <c r="B10" s="80" t="s">
        <v>56</v>
      </c>
      <c r="C10" s="81"/>
      <c r="D10" s="81"/>
      <c r="E10" s="81"/>
      <c r="F10" s="82"/>
      <c r="G10" s="21">
        <v>44892216</v>
      </c>
      <c r="H10" s="17" t="s">
        <v>4</v>
      </c>
      <c r="I10" s="2"/>
    </row>
    <row r="11" spans="1:9" x14ac:dyDescent="0.25">
      <c r="A11" s="2"/>
      <c r="B11" s="92" t="s">
        <v>147</v>
      </c>
      <c r="C11" s="93"/>
      <c r="D11" s="93"/>
      <c r="E11" s="93"/>
      <c r="F11" s="94"/>
      <c r="G11" s="15">
        <f>G9-G10</f>
        <v>-2306761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9" t="s">
        <v>148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80" t="s">
        <v>57</v>
      </c>
      <c r="C15" s="81"/>
      <c r="D15" s="81"/>
      <c r="E15" s="81"/>
      <c r="F15" s="82"/>
      <c r="G15" s="21">
        <v>541108</v>
      </c>
      <c r="H15" s="17" t="s">
        <v>4</v>
      </c>
      <c r="I15" s="2"/>
    </row>
    <row r="16" spans="1:9" x14ac:dyDescent="0.25">
      <c r="A16" s="2"/>
      <c r="B16" s="80" t="s">
        <v>58</v>
      </c>
      <c r="C16" s="81"/>
      <c r="D16" s="81"/>
      <c r="E16" s="81"/>
      <c r="F16" s="82"/>
      <c r="G16" s="21">
        <v>600000</v>
      </c>
      <c r="H16" s="17" t="s">
        <v>4</v>
      </c>
      <c r="I16" s="2"/>
    </row>
    <row r="17" spans="1:9" x14ac:dyDescent="0.25">
      <c r="A17" s="2"/>
      <c r="B17" s="92" t="s">
        <v>148</v>
      </c>
      <c r="C17" s="93"/>
      <c r="D17" s="93"/>
      <c r="E17" s="93"/>
      <c r="F17" s="94"/>
      <c r="G17" s="15">
        <f>G15-G16</f>
        <v>-58892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9" t="s">
        <v>149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80" t="s">
        <v>59</v>
      </c>
      <c r="C21" s="81"/>
      <c r="D21" s="81"/>
      <c r="E21" s="81"/>
      <c r="F21" s="82"/>
      <c r="G21" s="21">
        <v>1215867.6200000001</v>
      </c>
      <c r="H21" s="17" t="s">
        <v>4</v>
      </c>
      <c r="I21" s="2"/>
    </row>
    <row r="22" spans="1:9" x14ac:dyDescent="0.25">
      <c r="A22" s="2"/>
      <c r="B22" s="80" t="s">
        <v>60</v>
      </c>
      <c r="C22" s="81"/>
      <c r="D22" s="81"/>
      <c r="E22" s="81"/>
      <c r="F22" s="82"/>
      <c r="G22" s="21">
        <v>2350000</v>
      </c>
      <c r="H22" s="17" t="s">
        <v>4</v>
      </c>
      <c r="I22" s="2"/>
    </row>
    <row r="23" spans="1:9" x14ac:dyDescent="0.25">
      <c r="A23" s="2"/>
      <c r="B23" s="92" t="s">
        <v>149</v>
      </c>
      <c r="C23" s="93"/>
      <c r="D23" s="93"/>
      <c r="E23" s="93"/>
      <c r="F23" s="94"/>
      <c r="G23" s="15">
        <f>G21-G22</f>
        <v>-1134132.3799999999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9" t="s">
        <v>61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80" t="s">
        <v>62</v>
      </c>
      <c r="C27" s="81"/>
      <c r="D27" s="81"/>
      <c r="E27" s="81"/>
      <c r="F27" s="82"/>
      <c r="G27" s="9">
        <f>'Fane 6. Gen. inv. i 2016'!F18</f>
        <v>647645.62300000002</v>
      </c>
      <c r="H27" s="17" t="s">
        <v>4</v>
      </c>
      <c r="I27" s="2"/>
    </row>
    <row r="28" spans="1:9" x14ac:dyDescent="0.25">
      <c r="A28" s="2"/>
      <c r="B28" s="80" t="s">
        <v>63</v>
      </c>
      <c r="C28" s="81"/>
      <c r="D28" s="81"/>
      <c r="E28" s="81"/>
      <c r="F28" s="82"/>
      <c r="G28" s="21">
        <v>1211983.3333333333</v>
      </c>
      <c r="H28" s="17" t="s">
        <v>4</v>
      </c>
      <c r="I28" s="2"/>
    </row>
    <row r="29" spans="1:9" x14ac:dyDescent="0.25">
      <c r="A29" s="2"/>
      <c r="B29" s="92" t="s">
        <v>61</v>
      </c>
      <c r="C29" s="93"/>
      <c r="D29" s="93"/>
      <c r="E29" s="93"/>
      <c r="F29" s="94"/>
      <c r="G29" s="15">
        <f>G27-G28</f>
        <v>-564337.71033333323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114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64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107" t="s">
        <v>65</v>
      </c>
      <c r="C9" s="108"/>
      <c r="D9" s="108"/>
      <c r="E9" s="108"/>
      <c r="F9" s="109"/>
      <c r="G9" s="20">
        <v>123757207.29700328</v>
      </c>
      <c r="H9" s="25" t="s">
        <v>4</v>
      </c>
      <c r="I9" s="2"/>
    </row>
    <row r="10" spans="1:9" x14ac:dyDescent="0.25">
      <c r="A10" s="2"/>
      <c r="B10" s="92" t="s">
        <v>66</v>
      </c>
      <c r="C10" s="93"/>
      <c r="D10" s="93"/>
      <c r="E10" s="93"/>
      <c r="F10" s="93"/>
      <c r="G10" s="93"/>
      <c r="H10" s="94"/>
      <c r="I10" s="2"/>
    </row>
    <row r="11" spans="1:9" x14ac:dyDescent="0.25">
      <c r="A11" s="2"/>
      <c r="B11" s="80" t="s">
        <v>17</v>
      </c>
      <c r="C11" s="81"/>
      <c r="D11" s="82"/>
      <c r="E11" s="21">
        <v>36007805</v>
      </c>
      <c r="F11" s="17" t="s">
        <v>4</v>
      </c>
      <c r="G11" s="14"/>
      <c r="H11" s="29"/>
      <c r="I11" s="2"/>
    </row>
    <row r="12" spans="1:9" x14ac:dyDescent="0.25">
      <c r="A12" s="2"/>
      <c r="B12" s="80" t="s">
        <v>67</v>
      </c>
      <c r="C12" s="81"/>
      <c r="D12" s="82"/>
      <c r="E12" s="21">
        <v>6889217</v>
      </c>
      <c r="F12" s="17" t="s">
        <v>4</v>
      </c>
      <c r="G12" s="10"/>
      <c r="H12" s="30"/>
      <c r="I12" s="2"/>
    </row>
    <row r="13" spans="1:9" x14ac:dyDescent="0.25">
      <c r="A13" s="2"/>
      <c r="B13" s="80" t="s">
        <v>68</v>
      </c>
      <c r="C13" s="81"/>
      <c r="D13" s="82"/>
      <c r="E13" s="21">
        <v>139212</v>
      </c>
      <c r="F13" s="17" t="s">
        <v>4</v>
      </c>
      <c r="G13" s="10"/>
      <c r="H13" s="30"/>
      <c r="I13" s="2"/>
    </row>
    <row r="14" spans="1:9" x14ac:dyDescent="0.25">
      <c r="A14" s="2"/>
      <c r="B14" s="80" t="s">
        <v>69</v>
      </c>
      <c r="C14" s="81"/>
      <c r="D14" s="82"/>
      <c r="E14" s="21">
        <v>3075328</v>
      </c>
      <c r="F14" s="17" t="s">
        <v>4</v>
      </c>
      <c r="G14" s="10"/>
      <c r="H14" s="30"/>
      <c r="I14" s="2"/>
    </row>
    <row r="15" spans="1:9" x14ac:dyDescent="0.25">
      <c r="A15" s="2"/>
      <c r="B15" s="107" t="s">
        <v>18</v>
      </c>
      <c r="C15" s="108"/>
      <c r="D15" s="109"/>
      <c r="E15" s="12">
        <f>SUM(E11:E14)</f>
        <v>46111562</v>
      </c>
      <c r="F15" s="25" t="s">
        <v>4</v>
      </c>
      <c r="G15" s="10"/>
      <c r="H15" s="30"/>
      <c r="I15" s="2"/>
    </row>
    <row r="16" spans="1:9" x14ac:dyDescent="0.25">
      <c r="A16" s="2"/>
      <c r="B16" s="80" t="s">
        <v>19</v>
      </c>
      <c r="C16" s="81"/>
      <c r="D16" s="82"/>
      <c r="E16" s="21">
        <v>2028780</v>
      </c>
      <c r="F16" s="17" t="s">
        <v>4</v>
      </c>
      <c r="G16" s="10"/>
      <c r="H16" s="30"/>
      <c r="I16" s="2"/>
    </row>
    <row r="17" spans="1:9" x14ac:dyDescent="0.25">
      <c r="A17" s="2"/>
      <c r="B17" s="80" t="s">
        <v>20</v>
      </c>
      <c r="C17" s="81"/>
      <c r="D17" s="82"/>
      <c r="E17" s="21">
        <v>27000</v>
      </c>
      <c r="F17" s="17" t="s">
        <v>4</v>
      </c>
      <c r="G17" s="10"/>
      <c r="H17" s="30"/>
      <c r="I17" s="2"/>
    </row>
    <row r="18" spans="1:9" x14ac:dyDescent="0.25">
      <c r="A18" s="2"/>
      <c r="B18" s="80" t="s">
        <v>21</v>
      </c>
      <c r="C18" s="81"/>
      <c r="D18" s="82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7" t="s">
        <v>22</v>
      </c>
      <c r="C19" s="108"/>
      <c r="D19" s="109"/>
      <c r="E19" s="12">
        <f>SUM(E16:E18)</f>
        <v>2055780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23</v>
      </c>
      <c r="C20" s="105"/>
      <c r="D20" s="106"/>
      <c r="E20" s="21">
        <v>-1258833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24</v>
      </c>
      <c r="C21" s="105"/>
      <c r="D21" s="106"/>
      <c r="E21" s="21">
        <v>-16065744</v>
      </c>
      <c r="F21" s="17" t="s">
        <v>4</v>
      </c>
      <c r="G21" s="10"/>
      <c r="H21" s="30"/>
      <c r="I21" s="2"/>
    </row>
    <row r="22" spans="1:9" x14ac:dyDescent="0.25">
      <c r="A22" s="2"/>
      <c r="B22" s="80" t="s">
        <v>25</v>
      </c>
      <c r="C22" s="81"/>
      <c r="D22" s="82"/>
      <c r="E22" s="21">
        <v>-19729301</v>
      </c>
      <c r="F22" s="17" t="s">
        <v>4</v>
      </c>
      <c r="G22" s="10"/>
      <c r="H22" s="30"/>
      <c r="I22" s="2"/>
    </row>
    <row r="23" spans="1:9" x14ac:dyDescent="0.25">
      <c r="A23" s="2"/>
      <c r="B23" s="80" t="s">
        <v>26</v>
      </c>
      <c r="C23" s="81"/>
      <c r="D23" s="82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27</v>
      </c>
      <c r="C24" s="105"/>
      <c r="D24" s="106"/>
      <c r="E24" s="21">
        <v>-116757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28</v>
      </c>
      <c r="C25" s="105"/>
      <c r="D25" s="106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29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7" t="s">
        <v>30</v>
      </c>
      <c r="C27" s="108"/>
      <c r="D27" s="109"/>
      <c r="E27" s="12">
        <f>SUM(E20:E26)</f>
        <v>-37170635</v>
      </c>
      <c r="F27" s="25" t="s">
        <v>4</v>
      </c>
      <c r="G27" s="11"/>
      <c r="H27" s="31"/>
      <c r="I27" s="2"/>
    </row>
    <row r="28" spans="1:9" x14ac:dyDescent="0.25">
      <c r="A28" s="2"/>
      <c r="B28" s="107" t="s">
        <v>31</v>
      </c>
      <c r="C28" s="108"/>
      <c r="D28" s="109"/>
      <c r="E28" s="12">
        <f>E15+E19+E27</f>
        <v>10996707</v>
      </c>
      <c r="F28" s="25" t="s">
        <v>4</v>
      </c>
      <c r="G28" s="1">
        <f>IF(E28&lt;0,0,-E28)</f>
        <v>-10996707</v>
      </c>
      <c r="H28" s="25" t="s">
        <v>4</v>
      </c>
      <c r="I28" s="2"/>
    </row>
    <row r="29" spans="1:9" x14ac:dyDescent="0.25">
      <c r="A29" s="2"/>
      <c r="B29" s="92" t="s">
        <v>70</v>
      </c>
      <c r="C29" s="93"/>
      <c r="D29" s="93"/>
      <c r="E29" s="93"/>
      <c r="F29" s="93"/>
      <c r="G29" s="93"/>
      <c r="H29" s="94"/>
      <c r="I29" s="2"/>
    </row>
    <row r="30" spans="1:9" x14ac:dyDescent="0.25">
      <c r="A30" s="2"/>
      <c r="B30" s="107" t="s">
        <v>70</v>
      </c>
      <c r="C30" s="108"/>
      <c r="D30" s="109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10" t="s">
        <v>46</v>
      </c>
      <c r="C31" s="93"/>
      <c r="D31" s="93"/>
      <c r="E31" s="93"/>
      <c r="F31" s="93"/>
      <c r="G31" s="93"/>
      <c r="H31" s="94"/>
      <c r="I31" s="2"/>
    </row>
    <row r="32" spans="1:9" ht="30" customHeight="1" x14ac:dyDescent="0.25">
      <c r="A32" s="2"/>
      <c r="B32" s="104" t="s">
        <v>47</v>
      </c>
      <c r="C32" s="105"/>
      <c r="D32" s="106"/>
      <c r="E32" s="21">
        <v>94636659</v>
      </c>
      <c r="F32" s="17" t="s">
        <v>4</v>
      </c>
      <c r="G32" s="14"/>
      <c r="H32" s="29"/>
      <c r="I32" s="2"/>
    </row>
    <row r="33" spans="1:9" x14ac:dyDescent="0.25">
      <c r="A33" s="2"/>
      <c r="B33" s="80" t="s">
        <v>32</v>
      </c>
      <c r="C33" s="81"/>
      <c r="D33" s="82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33</v>
      </c>
      <c r="C34" s="105"/>
      <c r="D34" s="106"/>
      <c r="E34" s="21">
        <v>477663</v>
      </c>
      <c r="F34" s="17" t="s">
        <v>4</v>
      </c>
      <c r="G34" s="11"/>
      <c r="H34" s="31"/>
      <c r="I34" s="2"/>
    </row>
    <row r="35" spans="1:9" x14ac:dyDescent="0.25">
      <c r="A35" s="2"/>
      <c r="B35" s="107" t="s">
        <v>34</v>
      </c>
      <c r="C35" s="108"/>
      <c r="D35" s="109"/>
      <c r="E35" s="12">
        <f>SUM(E32:E34)</f>
        <v>95114322</v>
      </c>
      <c r="F35" s="25" t="s">
        <v>4</v>
      </c>
      <c r="G35" s="12">
        <f>-E35</f>
        <v>-95114322</v>
      </c>
      <c r="H35" s="25" t="s">
        <v>4</v>
      </c>
      <c r="I35" s="2"/>
    </row>
    <row r="36" spans="1:9" x14ac:dyDescent="0.25">
      <c r="A36" s="2"/>
      <c r="B36" s="92" t="s">
        <v>142</v>
      </c>
      <c r="C36" s="93"/>
      <c r="D36" s="93"/>
      <c r="E36" s="93"/>
      <c r="F36" s="94"/>
      <c r="G36" s="15">
        <f>$G$9+$G$28+$G$30+$G$35</f>
        <v>17646178.297003284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115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140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85" t="s">
        <v>78</v>
      </c>
      <c r="C9" s="87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111" t="s">
        <v>141</v>
      </c>
      <c r="C10" s="112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2" t="s">
        <v>85</v>
      </c>
      <c r="C11" s="93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2" t="s">
        <v>95</v>
      </c>
      <c r="C12" s="94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2" t="s">
        <v>136</v>
      </c>
      <c r="C15" s="93"/>
      <c r="D15" s="93"/>
      <c r="E15" s="93"/>
      <c r="F15" s="93"/>
      <c r="G15" s="94"/>
      <c r="H15" s="2"/>
    </row>
    <row r="16" spans="1:8" ht="15" customHeight="1" x14ac:dyDescent="0.25">
      <c r="A16" s="2"/>
      <c r="B16" s="85" t="s">
        <v>154</v>
      </c>
      <c r="C16" s="86"/>
      <c r="D16" s="86"/>
      <c r="E16" s="87"/>
      <c r="F16" s="103" t="s">
        <v>137</v>
      </c>
      <c r="G16" s="103"/>
      <c r="H16" s="2"/>
    </row>
    <row r="17" spans="1:8" x14ac:dyDescent="0.25">
      <c r="A17" s="2"/>
      <c r="B17" s="80" t="s">
        <v>151</v>
      </c>
      <c r="C17" s="81"/>
      <c r="D17" s="81"/>
      <c r="E17" s="82"/>
      <c r="F17" s="21">
        <v>0</v>
      </c>
      <c r="G17" s="17" t="s">
        <v>4</v>
      </c>
      <c r="H17" s="2"/>
    </row>
    <row r="18" spans="1:8" x14ac:dyDescent="0.25">
      <c r="A18" s="2"/>
      <c r="B18" s="92" t="s">
        <v>138</v>
      </c>
      <c r="C18" s="93"/>
      <c r="D18" s="93"/>
      <c r="E18" s="94"/>
      <c r="F18" s="15">
        <f>SUM(F17:F17)</f>
        <v>0</v>
      </c>
      <c r="G18" s="16" t="s">
        <v>4</v>
      </c>
      <c r="H18" s="2"/>
    </row>
    <row r="19" spans="1:8" x14ac:dyDescent="0.25">
      <c r="A19" s="2"/>
      <c r="B19" s="92" t="s">
        <v>139</v>
      </c>
      <c r="C19" s="93"/>
      <c r="D19" s="93"/>
      <c r="E19" s="94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2017-09-12T16:49:06Z</dcterms:modified>
</cp:coreProperties>
</file>