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I3" i="16" l="1"/>
  <c r="H3" i="16"/>
  <c r="G3" i="16"/>
  <c r="F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I4" i="16" l="1"/>
  <c r="M3" i="16" l="1"/>
  <c r="F3" i="17"/>
  <c r="G3" i="17"/>
  <c r="G4" i="16" l="1"/>
  <c r="H4" i="16"/>
  <c r="L3" i="16" s="1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I6" i="16"/>
  <c r="I5" i="16"/>
  <c r="G5" i="17"/>
  <c r="F4" i="17"/>
  <c r="E5" i="17"/>
  <c r="G4" i="17"/>
  <c r="E4" i="17"/>
  <c r="F5" i="17"/>
  <c r="G5" i="16"/>
  <c r="H6" i="16"/>
  <c r="G6" i="16"/>
  <c r="J3" i="24"/>
  <c r="M3" i="24" s="1"/>
  <c r="F5" i="16"/>
  <c r="J3" i="16" s="1"/>
  <c r="F6" i="16"/>
  <c r="H5" i="16"/>
  <c r="K3" i="16" l="1"/>
  <c r="B9" i="12"/>
  <c r="B10" i="12" s="1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<sst xmlns="http://schemas.openxmlformats.org/spreadsheetml/2006/main" count="118" uniqueCount="78">
  <si>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</si>
  <si>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</si>
  <si>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</si>
  <si>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</si>
  <si>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</si>
  <si>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</si>
  <si>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</si>
  <si>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</si>
  <si>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</si>
  <si>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</si>
  <si>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</si>
  <si>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</si>
  <si>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</si>
  <si>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</si>
  <si>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</si>
  <si>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</si>
  <si>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</si>
  <si>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</si>
  <si>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</si>
  <si>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</si>
  <si>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</si>
  <si>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</si>
  <si>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</si>
  <si>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</si>
  <si>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</si>
  <si>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</si>
  <si>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</si>
  <si>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</si>
  <si>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</si>
  <si>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</si>
  <si>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</si>
  <si>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</si>
  <si>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</si>
  <si>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</si>
  <si>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</si>
  <si>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</si>
  <si>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</si>
  <si>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</si>
  <si>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</si>
  <si>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</si>
  <si>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</si>
  <si>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</si>
  <si>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</si>
  <si>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</si>
  <si>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</si>
  <si>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</si>
  <si>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</si>
  <si>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</si>
  <si>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</si>
  <si>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</si>
  <si>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</si>
  <si>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Grundvandssikring Lustrup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</si>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</sst>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25947448.883162662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1239714.3987151175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230896.94719999997</v>
      </c>
      <c r="C4" t="s">
        <v>11</v>
      </c>
    </row>
    <row r="5" spans="1:3" s="26" customFormat="1" x14ac:dyDescent="0.25">
      <c r="A5" s="3" t="s">
        <v>12</v>
      </c>
      <c r="B5" s="49">
        <f>SUM(B2:B4)</f>
        <v>27418060.229077779</v>
      </c>
      <c r="C5" s="64" t="s">
        <v>11</v>
      </c>
    </row>
    <row r="6" spans="1:3" x14ac:dyDescent="0.25">
      <c r="A6" s="48" t="s">
        <v>0</v>
      </c>
      <c r="B6" s="39">
        <f>Investeringer!E3</f>
        <v>38207588.821602777</v>
      </c>
      <c r="C6" s="23" t="s">
        <v>11</v>
      </c>
    </row>
    <row r="7" spans="1:3" x14ac:dyDescent="0.25">
      <c r="A7" s="4" t="s">
        <v>1</v>
      </c>
      <c r="B7" s="36">
        <f>Investeringer!F3</f>
        <v>7600670.4793022918</v>
      </c>
      <c r="C7" t="s">
        <v>11</v>
      </c>
    </row>
    <row r="8" spans="1:3" x14ac:dyDescent="0.25">
      <c r="A8" s="4" t="s">
        <v>2</v>
      </c>
      <c r="B8" s="36">
        <f>Investeringer!G3</f>
        <v>650116.06404336484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732150.50746666663</v>
      </c>
      <c r="C9" t="s">
        <v>11</v>
      </c>
    </row>
    <row r="10" spans="1:3" s="22" customFormat="1" x14ac:dyDescent="0.25">
      <c r="A10" s="3" t="s">
        <v>49</v>
      </c>
      <c r="B10" s="49">
        <f>SUM(B6:B9)</f>
        <v>47190525.872415103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45640747</v>
      </c>
      <c r="C11" t="s">
        <v>11</v>
      </c>
    </row>
    <row r="12" spans="1:3" s="22" customFormat="1" x14ac:dyDescent="0.25">
      <c r="A12" s="3" t="s">
        <v>71</v>
      </c>
      <c r="B12" s="49">
        <f>SUM(B11:B11)</f>
        <v>45640747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120249333.10149288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121313748.93328068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72</v>
      </c>
      <c r="H1" s="53" t="s">
        <v>65</v>
      </c>
      <c r="I1" s="53" t="s">
        <v>50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26388980</v>
      </c>
      <c r="C2" s="50">
        <v>0</v>
      </c>
      <c r="D2" s="50">
        <f>B2+C2</f>
        <v>26388980</v>
      </c>
      <c r="E2" s="51">
        <f>D2</f>
        <v>26388980</v>
      </c>
      <c r="F2" s="50">
        <v>30576788.976206742</v>
      </c>
      <c r="G2" s="50">
        <v>0</v>
      </c>
      <c r="H2" s="50">
        <f>F2-G2</f>
        <v>30576788.976206742</v>
      </c>
      <c r="I2" s="50">
        <f>AVERAGEIF(E2:E4,"&lt;&gt;0")</f>
        <v>25947448.883162662</v>
      </c>
      <c r="J2" s="50">
        <v>22136868.507396549</v>
      </c>
      <c r="K2" s="40">
        <f>IF(H2&gt;I2,IF(I2&gt;J2,I2,J2),H2)</f>
        <v>25947448.883162662</v>
      </c>
    </row>
    <row r="3" spans="1:11" s="23" customFormat="1" x14ac:dyDescent="0.25">
      <c r="A3" s="28">
        <v>2014</v>
      </c>
      <c r="B3" s="50">
        <v>26108567</v>
      </c>
      <c r="C3" s="50"/>
      <c r="D3" s="50">
        <f t="shared" ref="D3:D4" si="0">B3+C3</f>
        <v>26108567</v>
      </c>
      <c r="E3" s="51">
        <f>D3*Pristalsregulering!C7</f>
        <v>26129453.853599999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24929724</v>
      </c>
      <c r="C4" s="50"/>
      <c r="D4" s="50">
        <f t="shared" si="0"/>
        <v>24929724</v>
      </c>
      <c r="E4" s="51">
        <f>D4*Pristalsregulering!$C$6*Pristalsregulering!$C$7</f>
        <v>25323912.795887996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V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22" customWidth="1"/>
    <col min="6" max="6" width="30.7109375" style="56" customWidth="1"/>
    <col min="7" max="8" width="30.7109375" customWidth="1"/>
    <col min="9" max="9" width="30.7109375" style="22" customWidth="1"/>
    <col min="10" max="10" width="30.7109375" style="56" customWidth="1"/>
    <col min="11" max="12" width="30.7109375" customWidth="1"/>
    <col min="13" max="13" width="30.7109375" style="22" customWidth="1"/>
    <col min="14" max="14" width="30.7109375" style="56" customWidth="1"/>
    <col min="15" max="15" width="9.140625" hidden="1" customWidth="1"/>
    <col min="16" max="16" width="0" hidden="1" customWidth="1"/>
    <col min="17" max="17" width="9.140625" hidden="1" customWidth="1"/>
    <col min="18" max="94" width="0" hidden="1" customWidth="1"/>
    <col min="95" max="95" width="9.140625" hidden="1" customWidth="1"/>
    <col min="96" max="96" width="0" hidden="1" customWidth="1"/>
    <col min="97" max="97" width="9.140625" hidden="1" customWidth="1"/>
    <col min="98" max="120" width="0" hidden="1" customWidth="1"/>
    <col min="121" max="121" width="9.140625" hidden="1" customWidth="1"/>
    <col min="122" max="122" width="0" hidden="1" customWidth="1"/>
    <col min="123" max="126" width="9.140625" hidden="1" customWidth="1"/>
    <col min="127" max="174" width="0" hidden="1" customWidth="1"/>
    <col min="175" max="175" width="9.140625" hidden="1" customWidth="1"/>
    <col min="176" max="176" width="0" hidden="1" customWidth="1"/>
    <col min="177" max="177" width="9.140625" hidden="1" customWidth="1"/>
    <col min="178" max="200" width="0" hidden="1" customWidth="1"/>
    <col min="201" max="201" width="9.140625" hidden="1" customWidth="1"/>
    <col min="202" max="202" width="0" hidden="1" customWidth="1"/>
    <col min="203" max="206" width="9.140625" hidden="1" customWidth="1"/>
    <col min="207" max="226" width="0" hidden="1" customWidth="1"/>
    <col min="227" max="227" width="9.140625" hidden="1" customWidth="1"/>
    <col min="228" max="228" width="0" hidden="1" customWidth="1"/>
    <col min="229" max="235" width="9.140625" hidden="1" customWidth="1"/>
    <col min="236" max="254" width="0" hidden="1" customWidth="1"/>
    <col min="255" max="255" width="9.140625" hidden="1" customWidth="1"/>
    <col min="256" max="256" width="0" hidden="1" customWidth="1"/>
    <col min="257" max="257" width="9.140625" hidden="1" customWidth="1"/>
    <col min="258" max="280" width="0" hidden="1" customWidth="1"/>
    <col min="281" max="281" width="9.140625" hidden="1" customWidth="1"/>
    <col min="282" max="282" width="0" hidden="1" customWidth="1"/>
    <col min="283" max="286" width="9.140625" hidden="1" customWidth="1"/>
    <col min="287" max="306" width="0" hidden="1" customWidth="1"/>
    <col min="307" max="307" width="9.140625" hidden="1" customWidth="1"/>
    <col min="308" max="308" width="0" hidden="1" customWidth="1"/>
    <col min="309" max="315" width="9.140625" hidden="1" customWidth="1"/>
    <col min="316" max="332" width="0" hidden="1" customWidth="1"/>
    <col min="333" max="333" width="9.140625" hidden="1" customWidth="1"/>
    <col min="334" max="334" width="0" hidden="1" customWidth="1"/>
    <col min="335" max="16384" width="9.140625" hidden="1"/>
  </cols>
  <sheetData>
    <row r="1" spans="1:14" s="27" customFormat="1" ht="15.75" thickBot="1" x14ac:dyDescent="0.3">
      <c r="A1" s="9"/>
      <c r="B1" s="33" t="s">
        <v>74</v>
      </c>
      <c r="C1" s="33"/>
      <c r="D1" s="33"/>
      <c r="E1" s="33"/>
      <c r="F1" s="76" t="s">
        <v>75</v>
      </c>
      <c r="G1" s="10"/>
      <c r="H1" s="10"/>
      <c r="I1" s="10"/>
      <c r="J1" s="76" t="s">
        <v>76</v>
      </c>
      <c r="K1" s="33"/>
      <c r="L1" s="10"/>
      <c r="M1" s="10"/>
      <c r="N1" s="65"/>
    </row>
    <row r="2" spans="1:14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51</v>
      </c>
      <c r="F2" s="57" t="s">
        <v>22</v>
      </c>
      <c r="G2" s="35" t="s">
        <v>23</v>
      </c>
      <c r="H2" s="35" t="s">
        <v>24</v>
      </c>
      <c r="I2" s="35" t="s">
        <v>51</v>
      </c>
      <c r="J2" s="58" t="s">
        <v>22</v>
      </c>
      <c r="K2" s="35" t="s">
        <v>23</v>
      </c>
      <c r="L2" s="35" t="s">
        <v>24</v>
      </c>
      <c r="M2" s="35" t="s">
        <v>51</v>
      </c>
      <c r="N2" s="54" t="s">
        <v>25</v>
      </c>
    </row>
    <row r="3" spans="1:14" s="22" customFormat="1" x14ac:dyDescent="0.25">
      <c r="A3" s="28">
        <v>2016</v>
      </c>
      <c r="B3" s="74">
        <v>0</v>
      </c>
      <c r="C3" s="75">
        <v>0</v>
      </c>
      <c r="D3" s="75">
        <v>568924.24</v>
      </c>
      <c r="E3" s="75">
        <v>0</v>
      </c>
      <c r="F3" s="46">
        <f>B3/Pristalsregulering!$C$8</f>
        <v>0</v>
      </c>
      <c r="G3" s="36">
        <f>C3/Pristalsregulering!$C$8</f>
        <v>0</v>
      </c>
      <c r="H3" s="36">
        <f>D3/Pristalsregulering!$C$8</f>
        <v>571094.39871511748</v>
      </c>
      <c r="I3" s="36">
        <f>E3/Pristalsregulering!$C$8</f>
        <v>0</v>
      </c>
      <c r="J3" s="46">
        <f>IF(F4=0,0,AVERAGEIF(F4:F6,"&lt;&gt;0"))+F3</f>
        <v>371840</v>
      </c>
      <c r="K3" s="39">
        <f t="shared" ref="K3" si="0">IF(G4=0,0,AVERAGEIF(G4:G6,"&lt;&gt;0"))+G3</f>
        <v>296780</v>
      </c>
      <c r="L3" s="39">
        <f>IF(H4=0,0,AVERAGEIF(H4:H6,"&lt;&gt;0"))+H3</f>
        <v>571094.39871511748</v>
      </c>
      <c r="M3" s="39">
        <f>IF(I4=0,0,AVERAGEIF(I4:I6,"&lt;&gt;0"))+I3</f>
        <v>0</v>
      </c>
      <c r="N3" s="59">
        <f>SUM(J3:M3)</f>
        <v>1239714.3987151175</v>
      </c>
    </row>
    <row r="4" spans="1:14" x14ac:dyDescent="0.25">
      <c r="A4" s="28">
        <v>2015</v>
      </c>
      <c r="B4" s="36">
        <v>371840</v>
      </c>
      <c r="C4" s="36">
        <v>296780</v>
      </c>
      <c r="D4" s="36"/>
      <c r="E4" s="36"/>
      <c r="F4" s="46">
        <f>B4</f>
        <v>371840</v>
      </c>
      <c r="G4" s="36">
        <f t="shared" ref="G4" si="1">C4</f>
        <v>296780</v>
      </c>
      <c r="H4" s="36">
        <f>D4</f>
        <v>0</v>
      </c>
      <c r="I4" s="36">
        <f>E4</f>
        <v>0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/>
      <c r="C5" s="36"/>
      <c r="D5" s="36"/>
      <c r="E5" s="36"/>
      <c r="F5" s="46">
        <f>B5*Pristalsregulering!$C$7</f>
        <v>0</v>
      </c>
      <c r="G5" s="36">
        <f>C5*Pristalsregulering!$C$7</f>
        <v>0</v>
      </c>
      <c r="H5" s="36">
        <f>D5*Pristalsregulering!$C$7</f>
        <v>0</v>
      </c>
      <c r="I5" s="36">
        <f>E5*Pristalsregulering!$C$7</f>
        <v>0</v>
      </c>
      <c r="J5" s="46"/>
      <c r="K5" s="36"/>
      <c r="L5" s="36"/>
      <c r="M5" s="39"/>
      <c r="N5" s="46"/>
    </row>
    <row r="6" spans="1:14" x14ac:dyDescent="0.25">
      <c r="A6" s="28">
        <v>2013</v>
      </c>
      <c r="B6" s="36"/>
      <c r="C6" s="36"/>
      <c r="D6" s="36"/>
      <c r="E6" s="36"/>
      <c r="F6" s="46">
        <f>B6*Pristalsregulering!$C$7*Pristalsregulering!$C$6</f>
        <v>0</v>
      </c>
      <c r="G6" s="36">
        <f>C6*Pristalsregulering!$C$7*Pristalsregulering!$C$6</f>
        <v>0</v>
      </c>
      <c r="H6" s="36">
        <f>D6*Pristalsregulering!$C$7*Pristalsregulering!$C$6</f>
        <v>0</v>
      </c>
      <c r="I6" s="36">
        <f>E6*Pristalsregulering!$C$7*Pristalsregulering!$C$6</f>
        <v>0</v>
      </c>
      <c r="J6" s="46"/>
      <c r="K6" s="36"/>
      <c r="L6" s="36"/>
      <c r="M6" s="39"/>
      <c r="N6" s="46"/>
    </row>
    <row r="7" spans="1:14" hidden="1" x14ac:dyDescent="0.25"/>
    <row r="8" spans="1:14" hidden="1" x14ac:dyDescent="0.25"/>
    <row r="9" spans="1:14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26</v>
      </c>
      <c r="C1" s="78"/>
      <c r="D1" s="78"/>
      <c r="E1" s="79" t="s">
        <v>56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7" t="s">
        <v>29</v>
      </c>
      <c r="H2" s="6" t="s">
        <v>31</v>
      </c>
    </row>
    <row r="3" spans="1:8" x14ac:dyDescent="0.25">
      <c r="A3" s="31">
        <v>2015</v>
      </c>
      <c r="B3" s="42">
        <v>10000</v>
      </c>
      <c r="C3" s="43">
        <v>258800</v>
      </c>
      <c r="D3" s="43">
        <v>0</v>
      </c>
      <c r="E3" s="42">
        <f>B3</f>
        <v>10000</v>
      </c>
      <c r="F3" s="43">
        <f t="shared" ref="F3:G3" si="0">C3</f>
        <v>258800</v>
      </c>
      <c r="G3" s="44">
        <f t="shared" si="0"/>
        <v>0</v>
      </c>
      <c r="H3" s="45">
        <f>IF(E3=0,0,AVERAGEIF(E3:E5,"&lt;&gt;0"))+IF(F3=0,0,AVERAGEIF(F3:F5,"&lt;&gt;0"))+IF(G3=0,0,AVERAGEIF(G3:G5,"&lt;&gt;0"))</f>
        <v>230896.94719999997</v>
      </c>
    </row>
    <row r="4" spans="1:8" x14ac:dyDescent="0.25">
      <c r="A4" s="31">
        <v>2014</v>
      </c>
      <c r="B4" s="42">
        <v>7500</v>
      </c>
      <c r="C4" s="43">
        <v>196000</v>
      </c>
      <c r="D4" s="43">
        <v>0</v>
      </c>
      <c r="E4" s="42">
        <f>B4*Pristalsregulering!$C$7</f>
        <v>7505.9999999999991</v>
      </c>
      <c r="F4" s="43">
        <f>C4*Pristalsregulering!$C$7</f>
        <v>196156.79999999999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10000</v>
      </c>
      <c r="C5" s="43">
        <v>206800</v>
      </c>
      <c r="D5" s="43">
        <v>0</v>
      </c>
      <c r="E5" s="42">
        <f>B5*Pristalsregulering!$C$7*Pristalsregulering!$C$6</f>
        <v>10158.119999999999</v>
      </c>
      <c r="F5" s="43">
        <f>C5*Pristalsregulering!$C$7*Pristalsregulering!$C$6</f>
        <v>210069.92159999994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69</v>
      </c>
      <c r="C1" s="80"/>
      <c r="D1" s="81"/>
      <c r="E1" s="82" t="s">
        <v>70</v>
      </c>
      <c r="F1" s="82"/>
      <c r="G1" s="82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2">
        <v>2015</v>
      </c>
      <c r="B3" s="39">
        <v>35094723.194764808</v>
      </c>
      <c r="C3" s="39">
        <v>7275652.6535111107</v>
      </c>
      <c r="D3" s="41">
        <v>647645.62300000002</v>
      </c>
      <c r="E3" s="36">
        <f>B3*Pristalsregulering!C2*Pristalsregulering!C3*Pristalsregulering!C4*Pristalsregulering!C5*Pristalsregulering!C6*Pristalsregulering!C7</f>
        <v>38207588.821602777</v>
      </c>
      <c r="F3" s="36">
        <v>7600670.4793022918</v>
      </c>
      <c r="G3" s="36">
        <f xml:space="preserve"> D3/Pristalsregulering!$C$8</f>
        <v>650116.06404336484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57</v>
      </c>
      <c r="G1" s="80"/>
      <c r="H1" s="80"/>
      <c r="I1" s="80"/>
      <c r="J1" s="83" t="s">
        <v>31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73</v>
      </c>
      <c r="M2" s="6" t="s">
        <v>30</v>
      </c>
      <c r="N2" s="32"/>
    </row>
    <row r="3" spans="1:14" x14ac:dyDescent="0.25">
      <c r="A3" s="28">
        <v>2015</v>
      </c>
      <c r="B3" s="46">
        <v>153400</v>
      </c>
      <c r="C3" s="39">
        <v>541055</v>
      </c>
      <c r="D3" s="39">
        <v>148</v>
      </c>
      <c r="E3" s="41">
        <v>0</v>
      </c>
      <c r="F3" s="39">
        <f>B3</f>
        <v>153400</v>
      </c>
      <c r="G3" s="39">
        <f>C3</f>
        <v>541055</v>
      </c>
      <c r="H3" s="39">
        <f>D3</f>
        <v>148</v>
      </c>
      <c r="I3" s="41">
        <f>E3</f>
        <v>0</v>
      </c>
      <c r="J3" s="43">
        <f>AVERAGE(F3:F5)</f>
        <v>190982.1229333333</v>
      </c>
      <c r="K3" s="43">
        <f>G3</f>
        <v>541055</v>
      </c>
      <c r="L3" s="44">
        <f>AVERAGE(H3:H5)+AVERAGE(I3:I5)</f>
        <v>113.38453333333332</v>
      </c>
      <c r="M3" s="45">
        <f>SUM(J3:L3)</f>
        <v>732150.50746666663</v>
      </c>
      <c r="N3" s="23"/>
    </row>
    <row r="4" spans="1:14" x14ac:dyDescent="0.25">
      <c r="A4" s="28">
        <v>2014</v>
      </c>
      <c r="B4" s="46">
        <v>419211</v>
      </c>
      <c r="C4" s="39">
        <v>706399</v>
      </c>
      <c r="D4" s="39">
        <v>192</v>
      </c>
      <c r="E4" s="41">
        <v>0</v>
      </c>
      <c r="F4" s="39">
        <f>IF(B4="","",B4*Pristalsregulering!$C$7)</f>
        <v>419546.36879999994</v>
      </c>
      <c r="G4" s="39">
        <f>IF(C4="","",C4*Pristalsregulering!$C$7)</f>
        <v>706964.11919999996</v>
      </c>
      <c r="H4" s="39">
        <f>IF(D4="","",D4*Pristalsregulering!$C$7)</f>
        <v>192.15359999999998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609474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619111.00288799987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32</v>
      </c>
      <c r="C1" s="68" t="s">
        <v>33</v>
      </c>
      <c r="D1" s="68" t="s">
        <v>34</v>
      </c>
      <c r="E1" s="68" t="s">
        <v>35</v>
      </c>
      <c r="F1" s="68" t="s">
        <v>36</v>
      </c>
      <c r="G1" s="68" t="s">
        <v>37</v>
      </c>
      <c r="H1" s="68" t="s">
        <v>38</v>
      </c>
      <c r="I1" s="68" t="s">
        <v>39</v>
      </c>
      <c r="J1" s="68" t="s">
        <v>40</v>
      </c>
      <c r="K1" s="68" t="s">
        <v>59</v>
      </c>
      <c r="L1" s="69" t="s">
        <v>41</v>
      </c>
      <c r="M1" s="14" t="s">
        <v>30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0</v>
      </c>
      <c r="E2" s="43">
        <v>530961</v>
      </c>
      <c r="F2" s="43">
        <v>0</v>
      </c>
      <c r="G2" s="43">
        <v>45077263</v>
      </c>
      <c r="H2" s="43" t="s">
        <v>48</v>
      </c>
      <c r="I2" s="43">
        <v>0</v>
      </c>
      <c r="J2" s="43">
        <v>0</v>
      </c>
      <c r="K2" s="43"/>
      <c r="L2" s="44"/>
      <c r="M2" s="45">
        <f>SUM(B2:L2)</f>
        <v>45640747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2017-09-12T14:52:01Z</dcterms:modified>
</cp:coreProperties>
</file>