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N5" i="16"/>
  <c r="U3" i="16" s="1"/>
  <c r="J6" i="16"/>
  <c r="J3" i="24"/>
  <c r="M3" i="24" s="1"/>
  <c r="I5" i="16"/>
  <c r="O6" i="16"/>
  <c r="N6" i="16"/>
  <c r="O5" i="16"/>
  <c r="L5" i="16"/>
  <c r="I6" i="16"/>
  <c r="L6" i="16"/>
  <c r="K6" i="16"/>
  <c r="M5" i="16"/>
  <c r="T3" i="16" l="1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<sst xmlns="http://schemas.openxmlformats.org/spreadsheetml/2006/main" count="127" uniqueCount="81">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</sst>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7715043.3194453316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734685.5591999999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55378.889769333327</v>
      </c>
      <c r="C4" t="s">
        <v>11</v>
      </c>
    </row>
    <row r="5" spans="1:3" s="26" customFormat="1" x14ac:dyDescent="0.25">
      <c r="A5" s="3" t="s">
        <v>12</v>
      </c>
      <c r="B5" s="49">
        <f>SUM(B2:B4)</f>
        <v>8505107.7684146632</v>
      </c>
      <c r="C5" s="64" t="s">
        <v>11</v>
      </c>
    </row>
    <row r="6" spans="1:3" x14ac:dyDescent="0.25">
      <c r="A6" s="48" t="s">
        <v>0</v>
      </c>
      <c r="B6" s="39">
        <f>Investeringer!E3</f>
        <v>2539362.0790358991</v>
      </c>
      <c r="C6" s="23" t="s">
        <v>11</v>
      </c>
    </row>
    <row r="7" spans="1:3" x14ac:dyDescent="0.25">
      <c r="A7" s="4" t="s">
        <v>1</v>
      </c>
      <c r="B7" s="36">
        <f>Investeringer!F3</f>
        <v>1374967.3056474582</v>
      </c>
      <c r="C7" t="s">
        <v>11</v>
      </c>
    </row>
    <row r="8" spans="1:3" x14ac:dyDescent="0.25">
      <c r="A8" s="4" t="s">
        <v>2</v>
      </c>
      <c r="B8" s="36">
        <f>Investeringer!G3</f>
        <v>265951.89386334742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409116.46451066667</v>
      </c>
      <c r="C9" t="s">
        <v>11</v>
      </c>
    </row>
    <row r="10" spans="1:3" s="22" customFormat="1" x14ac:dyDescent="0.25">
      <c r="A10" s="3" t="s">
        <v>53</v>
      </c>
      <c r="B10" s="49">
        <f>SUM(B6:B9)</f>
        <v>4589397.743057372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17449146</v>
      </c>
      <c r="C11" t="s">
        <v>11</v>
      </c>
    </row>
    <row r="12" spans="1:3" s="22" customFormat="1" x14ac:dyDescent="0.25">
      <c r="A12" s="3" t="s">
        <v>74</v>
      </c>
      <c r="B12" s="49">
        <f>SUM(B11:B11)</f>
        <v>17449146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30543651.511472035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30814015.973302189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75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6939628</v>
      </c>
      <c r="C2" s="50">
        <v>0</v>
      </c>
      <c r="D2" s="50">
        <f>B2+C2</f>
        <v>6939628</v>
      </c>
      <c r="E2" s="51">
        <f>D2</f>
        <v>6939628</v>
      </c>
      <c r="F2" s="50">
        <v>9435032.670959821</v>
      </c>
      <c r="G2" s="50">
        <v>0</v>
      </c>
      <c r="H2" s="50">
        <f>F2-G2</f>
        <v>9435032.670959821</v>
      </c>
      <c r="I2" s="50">
        <f>AVERAGEIF(E2:E4,"&lt;&gt;0")</f>
        <v>7715043.3194453316</v>
      </c>
      <c r="J2" s="50">
        <v>5879196.0277031828</v>
      </c>
      <c r="K2" s="40">
        <f>IF(H2&gt;I2,IF(I2&gt;J2,I2,J2),H2)</f>
        <v>7715043.3194453316</v>
      </c>
    </row>
    <row r="3" spans="1:11" s="23" customFormat="1" x14ac:dyDescent="0.25">
      <c r="A3" s="28">
        <v>2014</v>
      </c>
      <c r="B3" s="50">
        <v>6718814</v>
      </c>
      <c r="C3" s="50"/>
      <c r="D3" s="50">
        <f t="shared" ref="D3:D4" si="0">B3+C3</f>
        <v>6718814</v>
      </c>
      <c r="E3" s="51">
        <f>D3*Pristalsregulering!C7</f>
        <v>6724189.0511999996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9333728</v>
      </c>
      <c r="C4" s="50"/>
      <c r="D4" s="50">
        <f t="shared" si="0"/>
        <v>9333728</v>
      </c>
      <c r="E4" s="51">
        <f>D4*Pristalsregulering!$C$6*Pristalsregulering!$C$7</f>
        <v>9481312.9071359988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25" max="59" width="0" hidden="1" customWidth="1"/>
    <col min="60" max="60" width="9.140625" hidden="1" customWidth="1"/>
    <col min="61" max="83" width="0" hidden="1" customWidth="1"/>
    <col min="84" max="84" width="9.140625" hidden="1" customWidth="1"/>
    <col min="85" max="119" width="0" hidden="1" customWidth="1"/>
    <col min="120" max="121" width="9.140625" hidden="1" customWidth="1"/>
    <col min="122" max="128" width="0" hidden="1" customWidth="1"/>
    <col min="129" max="130" width="9.140625" hidden="1" customWidth="1"/>
    <col min="131" max="155" width="0" hidden="1" customWidth="1"/>
    <col min="156" max="157" width="9.140625" hidden="1" customWidth="1"/>
    <col min="158" max="164" width="0" hidden="1" customWidth="1"/>
    <col min="165" max="166" width="9.140625" hidden="1" customWidth="1"/>
    <col min="167" max="179" width="0" hidden="1" customWidth="1"/>
    <col min="180" max="181" width="9.140625" hidden="1" customWidth="1"/>
    <col min="182" max="188" width="0" hidden="1" customWidth="1"/>
    <col min="189" max="190" width="9.140625" hidden="1" customWidth="1"/>
    <col min="191" max="215" width="0" hidden="1" customWidth="1"/>
    <col min="216" max="217" width="9.140625" hidden="1" customWidth="1"/>
    <col min="218" max="224" width="0" hidden="1" customWidth="1"/>
    <col min="225" max="227" width="9.140625" hidden="1" customWidth="1"/>
    <col min="228" max="233" width="0" hidden="1" customWidth="1"/>
    <col min="234" max="236" width="9.140625" hidden="1" customWidth="1"/>
    <col min="237" max="251" width="0" hidden="1" customWidth="1"/>
    <col min="252" max="253" width="9.140625" hidden="1" customWidth="1"/>
    <col min="254" max="260" width="0" hidden="1" customWidth="1"/>
    <col min="261" max="263" width="9.140625" hidden="1" customWidth="1"/>
    <col min="264" max="269" width="0" hidden="1" customWidth="1"/>
    <col min="270" max="272" width="9.140625" hidden="1" customWidth="1"/>
    <col min="273" max="275" width="0" hidden="1" customWidth="1"/>
    <col min="276" max="277" width="9.140625" hidden="1" customWidth="1"/>
    <col min="278" max="284" width="0" hidden="1" customWidth="1"/>
    <col min="285" max="287" width="9.140625" hidden="1" customWidth="1"/>
    <col min="288" max="293" width="0" hidden="1" customWidth="1"/>
    <col min="294" max="296" width="9.140625" hidden="1" customWidth="1"/>
    <col min="297" max="311" width="0" hidden="1" customWidth="1"/>
    <col min="312" max="313" width="9.140625" hidden="1" customWidth="1"/>
    <col min="314" max="320" width="0" hidden="1" customWidth="1"/>
    <col min="321" max="323" width="9.140625" hidden="1" customWidth="1"/>
    <col min="324" max="329" width="0" hidden="1" customWidth="1"/>
    <col min="330" max="333" width="9.140625" hidden="1" customWidth="1"/>
    <col min="334" max="338" width="0" hidden="1" customWidth="1"/>
    <col min="339" max="16384" width="9.140625" hidden="1"/>
  </cols>
  <sheetData>
    <row r="1" spans="1:23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33"/>
      <c r="I1" s="76" t="s">
        <v>78</v>
      </c>
      <c r="J1" s="10"/>
      <c r="K1" s="10"/>
      <c r="L1" s="10"/>
      <c r="M1" s="10"/>
      <c r="N1" s="10"/>
      <c r="O1" s="10"/>
      <c r="P1" s="76" t="s">
        <v>79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46">
        <f>B3/Pristalsregulering!$C$8</f>
        <v>0</v>
      </c>
      <c r="J3" s="36">
        <f>C3/Pristalsregulering!$C$8</f>
        <v>0</v>
      </c>
      <c r="K3" s="36">
        <f>D3/Pristalsregulering!$C$8</f>
        <v>0</v>
      </c>
      <c r="L3" s="36">
        <f>E3/Pristalsregulering!$C$8</f>
        <v>0</v>
      </c>
      <c r="M3" s="36">
        <f>F3/Pristalsregulering!$C$8</f>
        <v>0</v>
      </c>
      <c r="N3" s="36">
        <f>G3/Pristalsregulering!$C$8</f>
        <v>0</v>
      </c>
      <c r="O3" s="36">
        <f>H3/Pristalsregulering!$C$8</f>
        <v>0</v>
      </c>
      <c r="P3" s="46">
        <f t="shared" ref="P3:V3" si="0">IF(I4=0,0,AVERAGEIF(I4:I6,"&lt;&gt;0"))+I3</f>
        <v>57701.596399999995</v>
      </c>
      <c r="Q3" s="39">
        <f t="shared" si="0"/>
        <v>37024.436000000002</v>
      </c>
      <c r="R3" s="39">
        <f t="shared" si="0"/>
        <v>430156.67479999998</v>
      </c>
      <c r="S3" s="39">
        <f t="shared" si="0"/>
        <v>44519.686399999999</v>
      </c>
      <c r="T3" s="39">
        <f t="shared" si="0"/>
        <v>76171.457999999999</v>
      </c>
      <c r="U3" s="39">
        <f t="shared" si="0"/>
        <v>71690.707599999994</v>
      </c>
      <c r="V3" s="39">
        <f t="shared" si="0"/>
        <v>17421</v>
      </c>
      <c r="W3" s="59">
        <f>SUM(P3:V3)</f>
        <v>734685.5591999999</v>
      </c>
    </row>
    <row r="4" spans="1:23" x14ac:dyDescent="0.25">
      <c r="A4" s="28">
        <v>2015</v>
      </c>
      <c r="B4" s="36">
        <v>48859</v>
      </c>
      <c r="C4" s="36">
        <v>60448</v>
      </c>
      <c r="D4" s="36">
        <v>773557</v>
      </c>
      <c r="E4" s="36">
        <v>32278</v>
      </c>
      <c r="F4" s="36">
        <v>83643</v>
      </c>
      <c r="G4" s="36">
        <v>72806</v>
      </c>
      <c r="H4" s="36">
        <v>17421</v>
      </c>
      <c r="I4" s="46">
        <f>B4</f>
        <v>48859</v>
      </c>
      <c r="J4" s="36">
        <f t="shared" ref="J4:O4" si="1">C4</f>
        <v>60448</v>
      </c>
      <c r="K4" s="36">
        <f t="shared" si="1"/>
        <v>773557</v>
      </c>
      <c r="L4" s="36">
        <f t="shared" si="1"/>
        <v>32278</v>
      </c>
      <c r="M4" s="36">
        <f t="shared" si="1"/>
        <v>83643</v>
      </c>
      <c r="N4" s="36">
        <f t="shared" si="1"/>
        <v>72806</v>
      </c>
      <c r="O4" s="36">
        <f t="shared" si="1"/>
        <v>17421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66491</v>
      </c>
      <c r="C5" s="36">
        <v>13590</v>
      </c>
      <c r="D5" s="36">
        <v>86687</v>
      </c>
      <c r="E5" s="36">
        <v>56716</v>
      </c>
      <c r="F5" s="36">
        <v>68645</v>
      </c>
      <c r="G5" s="36">
        <v>70519</v>
      </c>
      <c r="H5" s="36"/>
      <c r="I5" s="46">
        <f>B5*Pristalsregulering!$C$7</f>
        <v>66544.19279999999</v>
      </c>
      <c r="J5" s="36">
        <f>C5*Pristalsregulering!$C$7</f>
        <v>13600.871999999999</v>
      </c>
      <c r="K5" s="36">
        <f>D5*Pristalsregulering!$C$7</f>
        <v>86756.349599999987</v>
      </c>
      <c r="L5" s="36">
        <f>E5*Pristalsregulering!$C$7</f>
        <v>56761.372799999997</v>
      </c>
      <c r="M5" s="36">
        <f>F5*Pristalsregulering!$C$7</f>
        <v>68699.915999999997</v>
      </c>
      <c r="N5" s="36">
        <f>G5*Pristalsregulering!$C$7</f>
        <v>70575.415199999989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3466</v>
      </c>
      <c r="C3" s="43">
        <v>23454</v>
      </c>
      <c r="D3" s="43">
        <v>0</v>
      </c>
      <c r="E3" s="42">
        <f>B3</f>
        <v>3466</v>
      </c>
      <c r="F3" s="43">
        <f t="shared" ref="F3:G3" si="0">C3</f>
        <v>23454</v>
      </c>
      <c r="G3" s="44">
        <f t="shared" si="0"/>
        <v>0</v>
      </c>
      <c r="H3" s="45">
        <f>IF(E3=0,0,AVERAGEIF(E3:E5,"&lt;&gt;0"))+IF(F3=0,0,AVERAGEIF(F3:F5,"&lt;&gt;0"))+IF(G3=0,0,AVERAGEIF(G3:G5,"&lt;&gt;0"))</f>
        <v>55378.889769333327</v>
      </c>
    </row>
    <row r="4" spans="1:8" x14ac:dyDescent="0.25">
      <c r="A4" s="31">
        <v>2014</v>
      </c>
      <c r="B4" s="42">
        <v>11124</v>
      </c>
      <c r="C4" s="43">
        <v>58800</v>
      </c>
      <c r="D4" s="43">
        <v>0</v>
      </c>
      <c r="E4" s="42">
        <f>B4*Pristalsregulering!$C$7</f>
        <v>11132.8992</v>
      </c>
      <c r="F4" s="43">
        <f>C4*Pristalsregulering!$C$7</f>
        <v>58847.039999999994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56100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56987.053199999995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9">
        <v>2332474.0451734401</v>
      </c>
      <c r="C3" s="39">
        <v>1336572.9983333331</v>
      </c>
      <c r="D3" s="41">
        <v>264941.27666666667</v>
      </c>
      <c r="E3" s="36">
        <f>B3*Pristalsregulering!C2*Pristalsregulering!C3*Pristalsregulering!C4*Pristalsregulering!C5*Pristalsregulering!C6*Pristalsregulering!C7</f>
        <v>2539362.0790358991</v>
      </c>
      <c r="F3" s="36">
        <v>1374967.3056474582</v>
      </c>
      <c r="G3" s="36">
        <f xml:space="preserve"> D3/Pristalsregulering!$C$8</f>
        <v>265951.89386334742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76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404776</v>
      </c>
      <c r="D3" s="39">
        <v>851</v>
      </c>
      <c r="E3" s="41">
        <v>0</v>
      </c>
      <c r="F3" s="39">
        <f>B3</f>
        <v>0</v>
      </c>
      <c r="G3" s="39">
        <f>C3</f>
        <v>404776</v>
      </c>
      <c r="H3" s="39">
        <f>D3</f>
        <v>851</v>
      </c>
      <c r="I3" s="41">
        <f>E3</f>
        <v>0</v>
      </c>
      <c r="J3" s="43">
        <f>AVERAGE(F3:F5)</f>
        <v>0</v>
      </c>
      <c r="K3" s="43">
        <f>G3</f>
        <v>404776</v>
      </c>
      <c r="L3" s="44">
        <f>AVERAGE(H3:H5)+AVERAGE(I3:I5)</f>
        <v>4340.4645106666658</v>
      </c>
      <c r="M3" s="45">
        <f>SUM(J3:L3)</f>
        <v>409116.46451066667</v>
      </c>
      <c r="N3" s="23"/>
    </row>
    <row r="4" spans="1:14" x14ac:dyDescent="0.25">
      <c r="A4" s="28">
        <v>2014</v>
      </c>
      <c r="B4" s="46">
        <v>0</v>
      </c>
      <c r="C4" s="39">
        <v>369985</v>
      </c>
      <c r="D4" s="39">
        <v>5755</v>
      </c>
      <c r="E4" s="41">
        <v>0</v>
      </c>
      <c r="F4" s="39">
        <f>IF(B4="","",B4*Pristalsregulering!$C$7)</f>
        <v>0</v>
      </c>
      <c r="G4" s="39">
        <f>IF(C4="","",C4*Pristalsregulering!$C$7)</f>
        <v>370280.98799999995</v>
      </c>
      <c r="H4" s="39">
        <f>IF(D4="","",D4*Pristalsregulering!$C$7)</f>
        <v>5759.6039999999994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166930</v>
      </c>
      <c r="D5" s="39">
        <v>6311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169569.49715999997</v>
      </c>
      <c r="H5" s="39">
        <f>IF(D5="","",D5*Pristalsregulering!$C$7*Pristalsregulering!$C$6)</f>
        <v>6410.7895319999989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562328</v>
      </c>
      <c r="D2" s="43">
        <v>20696</v>
      </c>
      <c r="E2" s="43">
        <v>4553227</v>
      </c>
      <c r="F2" s="43">
        <v>490000</v>
      </c>
      <c r="G2" s="43">
        <v>11790372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17449146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2017-09-12T14:53:46Z</dcterms:modified>
</cp:coreProperties>
</file>