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M3" i="16" l="1"/>
  <c r="L3" i="16"/>
  <c r="K3" i="16"/>
  <c r="J3" i="16"/>
  <c r="I3" i="16"/>
  <c r="H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I4" i="16" l="1"/>
  <c r="J4" i="16"/>
  <c r="K4" i="16"/>
  <c r="L4" i="16"/>
  <c r="M4" i="16"/>
  <c r="H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L6" i="16"/>
  <c r="J5" i="16"/>
  <c r="I6" i="16"/>
  <c r="J3" i="24"/>
  <c r="M3" i="24" s="1"/>
  <c r="H5" i="16"/>
  <c r="M6" i="16"/>
  <c r="M5" i="16"/>
  <c r="K5" i="16"/>
  <c r="H6" i="16"/>
  <c r="K6" i="16"/>
  <c r="J6" i="16"/>
  <c r="L5" i="16"/>
  <c r="R3" i="16" l="1"/>
  <c r="O3" i="16"/>
  <c r="Q3" i="16"/>
  <c r="P3" i="16"/>
  <c r="S3" i="16"/>
  <c r="N3" i="16"/>
  <c r="B9" i="12"/>
  <c r="B10" i="12" s="1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<sst xmlns="http://schemas.openxmlformats.org/spreadsheetml/2006/main" count="125" uniqueCount="81">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</sst>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2036737.0229199997</v>
      </c>
      <c r="C2" t="s">
        <v>11</v>
      </c>
    </row>
    <row r="3" spans="1:3" s="2" customFormat="1" x14ac:dyDescent="0.25">
      <c r="A3" s="5" t="s">
        <v>8</v>
      </c>
      <c r="B3" s="37">
        <f>'Miljø- og servicemål'!T3</f>
        <v>94028.958799999993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17476.121769333331</v>
      </c>
      <c r="C4" t="s">
        <v>11</v>
      </c>
    </row>
    <row r="5" spans="1:3" s="26" customFormat="1" x14ac:dyDescent="0.25">
      <c r="A5" s="3" t="s">
        <v>12</v>
      </c>
      <c r="B5" s="49">
        <f>SUM(B2:B4)</f>
        <v>2148242.1034893328</v>
      </c>
      <c r="C5" s="64" t="s">
        <v>11</v>
      </c>
    </row>
    <row r="6" spans="1:3" x14ac:dyDescent="0.25">
      <c r="A6" s="48" t="s">
        <v>0</v>
      </c>
      <c r="B6" s="39">
        <f>Investeringer!E3</f>
        <v>862209.82004325453</v>
      </c>
      <c r="C6" s="23" t="s">
        <v>11</v>
      </c>
    </row>
    <row r="7" spans="1:3" x14ac:dyDescent="0.25">
      <c r="A7" s="4" t="s">
        <v>1</v>
      </c>
      <c r="B7" s="36">
        <f>Investeringer!F3</f>
        <v>450824.89899911609</v>
      </c>
      <c r="C7" t="s">
        <v>11</v>
      </c>
    </row>
    <row r="8" spans="1:3" x14ac:dyDescent="0.25">
      <c r="A8" s="4" t="s">
        <v>2</v>
      </c>
      <c r="B8" s="36">
        <f>Investeringer!G3</f>
        <v>84193.648664926732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205916.98731333335</v>
      </c>
      <c r="C9" t="s">
        <v>11</v>
      </c>
    </row>
    <row r="10" spans="1:3" s="22" customFormat="1" x14ac:dyDescent="0.25">
      <c r="A10" s="3" t="s">
        <v>53</v>
      </c>
      <c r="B10" s="49">
        <f>SUM(B6:B9)</f>
        <v>1603145.3550206306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4757937</v>
      </c>
      <c r="C11" t="s">
        <v>11</v>
      </c>
    </row>
    <row r="12" spans="1:3" s="22" customFormat="1" x14ac:dyDescent="0.25">
      <c r="A12" s="3" t="s">
        <v>74</v>
      </c>
      <c r="B12" s="49">
        <f>SUM(B11:B11)</f>
        <v>4757937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8509324.458509963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8584646.7861923333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75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1683399</v>
      </c>
      <c r="C2" s="50">
        <v>0</v>
      </c>
      <c r="D2" s="50">
        <f>B2+C2</f>
        <v>1683399</v>
      </c>
      <c r="E2" s="51">
        <f>D2</f>
        <v>1683399</v>
      </c>
      <c r="F2" s="50">
        <v>3131769.6165783424</v>
      </c>
      <c r="G2" s="50">
        <v>0</v>
      </c>
      <c r="H2" s="50">
        <f>F2-G2</f>
        <v>3131769.6165783424</v>
      </c>
      <c r="I2" s="50">
        <f>AVERAGEIF(E2:E4,"&lt;&gt;0")</f>
        <v>2036737.0229199997</v>
      </c>
      <c r="J2" s="50">
        <v>688446.5129976864</v>
      </c>
      <c r="K2" s="40">
        <f>IF(H2&gt;I2,IF(I2&gt;J2,I2,J2),H2)</f>
        <v>2036737.0229199997</v>
      </c>
    </row>
    <row r="3" spans="1:11" s="23" customFormat="1" x14ac:dyDescent="0.25">
      <c r="A3" s="28">
        <v>2014</v>
      </c>
      <c r="B3" s="50">
        <v>1715426</v>
      </c>
      <c r="C3" s="50"/>
      <c r="D3" s="50">
        <f t="shared" ref="D3:D4" si="0">B3+C3</f>
        <v>1715426</v>
      </c>
      <c r="E3" s="51">
        <f>D3*Pristalsregulering!C7</f>
        <v>1716798.3407999999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2667830</v>
      </c>
      <c r="C4" s="50"/>
      <c r="D4" s="50">
        <f t="shared" si="0"/>
        <v>2667830</v>
      </c>
      <c r="E4" s="51">
        <f>D4*Pristalsregulering!$C$6*Pristalsregulering!$C$7</f>
        <v>2710013.7279599993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7" width="30.7109375" customWidth="1"/>
    <col min="8" max="8" width="30.7109375" style="56" customWidth="1"/>
    <col min="9" max="13" width="30.7109375" customWidth="1"/>
    <col min="14" max="14" width="30.7109375" style="56" customWidth="1"/>
    <col min="15" max="19" width="30.7109375" customWidth="1"/>
    <col min="20" max="20" width="30.7109375" style="56" customWidth="1"/>
    <col min="21" max="21" width="9.140625" hidden="1" customWidth="1"/>
    <col min="22" max="56" width="0" hidden="1" customWidth="1"/>
    <col min="57" max="57" width="9.140625" hidden="1" customWidth="1"/>
    <col min="58" max="82" width="0" hidden="1" customWidth="1"/>
    <col min="83" max="83" width="9.140625" hidden="1" customWidth="1"/>
    <col min="84" max="118" width="0" hidden="1" customWidth="1"/>
    <col min="119" max="119" width="9.140625" hidden="1" customWidth="1"/>
    <col min="120" max="127" width="0" hidden="1" customWidth="1"/>
    <col min="128" max="128" width="9.140625" hidden="1" customWidth="1"/>
    <col min="129" max="154" width="0" hidden="1" customWidth="1"/>
    <col min="155" max="155" width="9.140625" hidden="1" customWidth="1"/>
    <col min="156" max="163" width="0" hidden="1" customWidth="1"/>
    <col min="164" max="164" width="9.140625" hidden="1" customWidth="1"/>
    <col min="165" max="180" width="0" hidden="1" customWidth="1"/>
    <col min="181" max="181" width="9.140625" hidden="1" customWidth="1"/>
    <col min="182" max="189" width="0" hidden="1" customWidth="1"/>
    <col min="190" max="190" width="9.140625" hidden="1" customWidth="1"/>
    <col min="191" max="216" width="0" hidden="1" customWidth="1"/>
    <col min="217" max="217" width="9.140625" hidden="1" customWidth="1"/>
    <col min="218" max="225" width="0" hidden="1" customWidth="1"/>
    <col min="226" max="226" width="9.140625" hidden="1" customWidth="1"/>
    <col min="227" max="234" width="0" hidden="1" customWidth="1"/>
    <col min="235" max="235" width="9.140625" hidden="1" customWidth="1"/>
    <col min="236" max="252" width="0" hidden="1" customWidth="1"/>
    <col min="253" max="253" width="9.140625" hidden="1" customWidth="1"/>
    <col min="254" max="261" width="0" hidden="1" customWidth="1"/>
    <col min="262" max="262" width="9.140625" hidden="1" customWidth="1"/>
    <col min="263" max="270" width="0" hidden="1" customWidth="1"/>
    <col min="271" max="271" width="9.140625" hidden="1" customWidth="1"/>
    <col min="272" max="278" width="0" hidden="1" customWidth="1"/>
    <col min="279" max="279" width="9.140625" hidden="1" customWidth="1"/>
    <col min="280" max="287" width="0" hidden="1" customWidth="1"/>
    <col min="288" max="288" width="9.140625" hidden="1" customWidth="1"/>
    <col min="289" max="296" width="0" hidden="1" customWidth="1"/>
    <col min="297" max="297" width="9.140625" hidden="1" customWidth="1"/>
    <col min="298" max="314" width="0" hidden="1" customWidth="1"/>
    <col min="315" max="315" width="9.140625" hidden="1" customWidth="1"/>
    <col min="316" max="323" width="0" hidden="1" customWidth="1"/>
    <col min="324" max="324" width="9.140625" hidden="1" customWidth="1"/>
    <col min="325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20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76" t="s">
        <v>78</v>
      </c>
      <c r="I1" s="10"/>
      <c r="J1" s="10"/>
      <c r="K1" s="10"/>
      <c r="L1" s="10"/>
      <c r="M1" s="10"/>
      <c r="N1" s="76" t="s">
        <v>79</v>
      </c>
      <c r="O1" s="10"/>
      <c r="P1" s="10"/>
      <c r="Q1" s="10"/>
      <c r="R1" s="10"/>
      <c r="S1" s="10"/>
      <c r="T1" s="65"/>
    </row>
    <row r="2" spans="1:20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57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35" t="s">
        <v>27</v>
      </c>
      <c r="N2" s="58" t="s">
        <v>22</v>
      </c>
      <c r="O2" s="35" t="s">
        <v>23</v>
      </c>
      <c r="P2" s="35" t="s">
        <v>24</v>
      </c>
      <c r="Q2" s="35" t="s">
        <v>25</v>
      </c>
      <c r="R2" s="35" t="s">
        <v>26</v>
      </c>
      <c r="S2" s="35" t="s">
        <v>27</v>
      </c>
      <c r="T2" s="54" t="s">
        <v>28</v>
      </c>
    </row>
    <row r="3" spans="1:20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46">
        <f>B3/Pristalsregulering!$C$8</f>
        <v>0</v>
      </c>
      <c r="I3" s="36">
        <f>C3/Pristalsregulering!$C$8</f>
        <v>0</v>
      </c>
      <c r="J3" s="36">
        <f>D3/Pristalsregulering!$C$8</f>
        <v>0</v>
      </c>
      <c r="K3" s="36">
        <f>E3/Pristalsregulering!$C$8</f>
        <v>0</v>
      </c>
      <c r="L3" s="36">
        <f>F3/Pristalsregulering!$C$8</f>
        <v>0</v>
      </c>
      <c r="M3" s="36">
        <f>G3/Pristalsregulering!$C$8</f>
        <v>0</v>
      </c>
      <c r="N3" s="46">
        <f t="shared" ref="N3:S3" si="0">IF(H4=0,0,AVERAGEIF(H4:H6,"&lt;&gt;0"))+H3</f>
        <v>16153.487999999999</v>
      </c>
      <c r="O3" s="39">
        <f t="shared" si="0"/>
        <v>6305.1611999999996</v>
      </c>
      <c r="P3" s="39">
        <f t="shared" si="0"/>
        <v>33351.770399999994</v>
      </c>
      <c r="Q3" s="39">
        <f t="shared" si="0"/>
        <v>0</v>
      </c>
      <c r="R3" s="39">
        <f t="shared" si="0"/>
        <v>35127.539199999999</v>
      </c>
      <c r="S3" s="39">
        <f t="shared" si="0"/>
        <v>3091</v>
      </c>
      <c r="T3" s="59">
        <f>SUM(N3:S3)</f>
        <v>94028.958799999993</v>
      </c>
    </row>
    <row r="4" spans="1:20" x14ac:dyDescent="0.25">
      <c r="A4" s="28">
        <v>2015</v>
      </c>
      <c r="B4" s="36">
        <v>7317</v>
      </c>
      <c r="C4" s="36">
        <v>12207</v>
      </c>
      <c r="D4" s="36">
        <v>19740</v>
      </c>
      <c r="E4" s="36"/>
      <c r="F4" s="36">
        <v>32627</v>
      </c>
      <c r="G4" s="36">
        <v>3091</v>
      </c>
      <c r="H4" s="46">
        <f>B4</f>
        <v>7317</v>
      </c>
      <c r="I4" s="36">
        <f t="shared" ref="I4:M4" si="1">C4</f>
        <v>12207</v>
      </c>
      <c r="J4" s="36">
        <f t="shared" si="1"/>
        <v>19740</v>
      </c>
      <c r="K4" s="36">
        <f t="shared" si="1"/>
        <v>0</v>
      </c>
      <c r="L4" s="36">
        <f t="shared" si="1"/>
        <v>32627</v>
      </c>
      <c r="M4" s="36">
        <f t="shared" si="1"/>
        <v>3091</v>
      </c>
      <c r="N4" s="46"/>
      <c r="O4" s="39"/>
      <c r="P4" s="39"/>
      <c r="Q4" s="39"/>
      <c r="R4" s="39"/>
      <c r="S4" s="39"/>
      <c r="T4" s="55"/>
    </row>
    <row r="5" spans="1:20" x14ac:dyDescent="0.25">
      <c r="A5" s="28">
        <v>2014</v>
      </c>
      <c r="B5" s="36">
        <v>24970</v>
      </c>
      <c r="C5" s="36">
        <v>403</v>
      </c>
      <c r="D5" s="36">
        <v>46926</v>
      </c>
      <c r="E5" s="36"/>
      <c r="F5" s="36">
        <v>37598</v>
      </c>
      <c r="G5" s="36"/>
      <c r="H5" s="46">
        <f>B5*Pristalsregulering!$C$7</f>
        <v>24989.975999999999</v>
      </c>
      <c r="I5" s="36">
        <f>C5*Pristalsregulering!$C$7</f>
        <v>403.32239999999996</v>
      </c>
      <c r="J5" s="36">
        <f>D5*Pristalsregulering!$C$7</f>
        <v>46963.540799999995</v>
      </c>
      <c r="K5" s="36">
        <f>E5*Pristalsregulering!$C$7</f>
        <v>0</v>
      </c>
      <c r="L5" s="36">
        <f>F5*Pristalsregulering!$C$7</f>
        <v>37628.078399999999</v>
      </c>
      <c r="M5" s="36">
        <f>G5*Pristalsregulering!$C$7</f>
        <v>0</v>
      </c>
      <c r="N5" s="46"/>
      <c r="O5" s="36"/>
      <c r="P5" s="36"/>
      <c r="Q5" s="36"/>
      <c r="R5" s="36"/>
      <c r="S5" s="36"/>
      <c r="T5" s="46"/>
    </row>
    <row r="6" spans="1:20" x14ac:dyDescent="0.25">
      <c r="A6" s="28">
        <v>2013</v>
      </c>
      <c r="B6" s="36"/>
      <c r="C6" s="36"/>
      <c r="D6" s="36"/>
      <c r="E6" s="36"/>
      <c r="F6" s="36"/>
      <c r="G6" s="36"/>
      <c r="H6" s="46">
        <f>B6*Pristalsregulering!$C$7*Pristalsregulering!$C$6</f>
        <v>0</v>
      </c>
      <c r="I6" s="36">
        <f>C6*Pristalsregulering!$C$7*Pristalsregulering!$C$6</f>
        <v>0</v>
      </c>
      <c r="J6" s="36">
        <f>D6*Pristalsregulering!$C$7*Pristalsregulering!$C$6</f>
        <v>0</v>
      </c>
      <c r="K6" s="36">
        <f>E6*Pristalsregulering!$C$7*Pristalsregulering!$C$6</f>
        <v>0</v>
      </c>
      <c r="L6" s="36">
        <f>F6*Pristalsregulering!$C$7*Pristalsregulering!$C$6</f>
        <v>0</v>
      </c>
      <c r="M6" s="36">
        <f>G6*Pristalsregulering!$C$7*Pristalsregulering!$C$6</f>
        <v>0</v>
      </c>
      <c r="N6" s="46"/>
      <c r="O6" s="36"/>
      <c r="P6" s="36"/>
      <c r="Q6" s="36"/>
      <c r="R6" s="36"/>
      <c r="S6" s="36"/>
      <c r="T6" s="46"/>
    </row>
    <row r="7" spans="1:20" hidden="1" x14ac:dyDescent="0.25"/>
    <row r="8" spans="1:20" hidden="1" x14ac:dyDescent="0.25"/>
    <row r="9" spans="1:20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29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30</v>
      </c>
      <c r="C2" s="20" t="s">
        <v>31</v>
      </c>
      <c r="D2" s="20" t="s">
        <v>32</v>
      </c>
      <c r="E2" s="16" t="s">
        <v>30</v>
      </c>
      <c r="F2" s="20" t="s">
        <v>31</v>
      </c>
      <c r="G2" s="47" t="s">
        <v>32</v>
      </c>
      <c r="H2" s="6" t="s">
        <v>34</v>
      </c>
    </row>
    <row r="3" spans="1:8" x14ac:dyDescent="0.25">
      <c r="A3" s="31">
        <v>2015</v>
      </c>
      <c r="B3" s="42">
        <v>693</v>
      </c>
      <c r="C3" s="43">
        <v>4222</v>
      </c>
      <c r="D3" s="43">
        <v>0</v>
      </c>
      <c r="E3" s="42">
        <f>B3</f>
        <v>693</v>
      </c>
      <c r="F3" s="43">
        <f t="shared" ref="F3:G3" si="0">C3</f>
        <v>4222</v>
      </c>
      <c r="G3" s="44">
        <f t="shared" si="0"/>
        <v>0</v>
      </c>
      <c r="H3" s="45">
        <f>IF(E3=0,0,AVERAGEIF(E3:E5,"&lt;&gt;0"))+IF(F3=0,0,AVERAGEIF(F3:F5,"&lt;&gt;0"))+IF(G3=0,0,AVERAGEIF(G3:G5,"&lt;&gt;0"))</f>
        <v>17476.121769333331</v>
      </c>
    </row>
    <row r="4" spans="1:8" x14ac:dyDescent="0.25">
      <c r="A4" s="31">
        <v>2014</v>
      </c>
      <c r="B4" s="42">
        <v>11124</v>
      </c>
      <c r="C4" s="43">
        <v>9800</v>
      </c>
      <c r="D4" s="43">
        <v>0</v>
      </c>
      <c r="E4" s="42">
        <f>B4*Pristalsregulering!$C$7</f>
        <v>11132.8992</v>
      </c>
      <c r="F4" s="43">
        <f>C4*Pristalsregulering!$C$7</f>
        <v>9807.8399999999983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14100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14322.949199999997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9">
        <v>791963.47907506221</v>
      </c>
      <c r="C3" s="39">
        <v>437857.48666666663</v>
      </c>
      <c r="D3" s="41">
        <v>83873.712800000008</v>
      </c>
      <c r="E3" s="36">
        <f>B3*Pristalsregulering!C2*Pristalsregulering!C3*Pristalsregulering!C4*Pristalsregulering!C5*Pristalsregulering!C6*Pristalsregulering!C7</f>
        <v>862209.82004325453</v>
      </c>
      <c r="F3" s="36">
        <v>450824.89899911609</v>
      </c>
      <c r="G3" s="36">
        <f xml:space="preserve"> D3/Pristalsregulering!$C$8</f>
        <v>84193.648664926732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34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76</v>
      </c>
      <c r="M2" s="6" t="s">
        <v>33</v>
      </c>
      <c r="N2" s="32"/>
    </row>
    <row r="3" spans="1:14" x14ac:dyDescent="0.25">
      <c r="A3" s="28">
        <v>2015</v>
      </c>
      <c r="B3" s="46">
        <v>0</v>
      </c>
      <c r="C3" s="39">
        <v>205130</v>
      </c>
      <c r="D3" s="39">
        <v>751</v>
      </c>
      <c r="E3" s="41">
        <v>0</v>
      </c>
      <c r="F3" s="39">
        <f>B3</f>
        <v>0</v>
      </c>
      <c r="G3" s="39">
        <f>C3</f>
        <v>205130</v>
      </c>
      <c r="H3" s="39">
        <f>D3</f>
        <v>751</v>
      </c>
      <c r="I3" s="41">
        <f>E3</f>
        <v>0</v>
      </c>
      <c r="J3" s="43">
        <f>AVERAGE(F3:F5)</f>
        <v>0</v>
      </c>
      <c r="K3" s="43">
        <f>G3</f>
        <v>205130</v>
      </c>
      <c r="L3" s="44">
        <f>AVERAGE(H3:H5)+AVERAGE(I3:I5)</f>
        <v>786.98731333333319</v>
      </c>
      <c r="M3" s="45">
        <f>SUM(J3:L3)</f>
        <v>205916.98731333335</v>
      </c>
      <c r="N3" s="23"/>
    </row>
    <row r="4" spans="1:14" x14ac:dyDescent="0.25">
      <c r="A4" s="28">
        <v>2014</v>
      </c>
      <c r="B4" s="46">
        <v>0</v>
      </c>
      <c r="C4" s="39">
        <v>195579</v>
      </c>
      <c r="D4" s="39">
        <v>751</v>
      </c>
      <c r="E4" s="41">
        <v>0</v>
      </c>
      <c r="F4" s="39">
        <f>IF(B4="","",B4*Pristalsregulering!$C$7)</f>
        <v>0</v>
      </c>
      <c r="G4" s="39">
        <f>IF(C4="","",C4*Pristalsregulering!$C$7)</f>
        <v>195735.46319999997</v>
      </c>
      <c r="H4" s="39">
        <f>IF(D4="","",D4*Pristalsregulering!$C$7)</f>
        <v>751.60079999999994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126942</v>
      </c>
      <c r="D5" s="39">
        <v>845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128949.20690399998</v>
      </c>
      <c r="H5" s="39">
        <f>IF(D5="","",D5*Pristalsregulering!$C$7*Pristalsregulering!$C$6)</f>
        <v>858.36113999999986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35</v>
      </c>
      <c r="C1" s="68" t="s">
        <v>36</v>
      </c>
      <c r="D1" s="68" t="s">
        <v>37</v>
      </c>
      <c r="E1" s="68" t="s">
        <v>38</v>
      </c>
      <c r="F1" s="68" t="s">
        <v>39</v>
      </c>
      <c r="G1" s="68" t="s">
        <v>40</v>
      </c>
      <c r="H1" s="68" t="s">
        <v>41</v>
      </c>
      <c r="I1" s="68" t="s">
        <v>42</v>
      </c>
      <c r="J1" s="68" t="s">
        <v>43</v>
      </c>
      <c r="K1" s="68" t="s">
        <v>44</v>
      </c>
      <c r="L1" s="68" t="s">
        <v>62</v>
      </c>
      <c r="M1" s="69" t="s">
        <v>45</v>
      </c>
      <c r="N1" s="14" t="s">
        <v>33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1564690</v>
      </c>
      <c r="F2" s="43">
        <v>490000</v>
      </c>
      <c r="G2" s="43">
        <v>2670724</v>
      </c>
      <c r="H2" s="43" t="s">
        <v>52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4757937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2017-09-13T13:00:16Z</dcterms:modified>
</cp:coreProperties>
</file>