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807" activeTab="1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E14" i="19" l="1"/>
  <c r="G26" i="22" l="1"/>
  <c r="G13" i="10" l="1"/>
  <c r="G11" i="10" l="1"/>
  <c r="G12" i="22"/>
  <c r="G11" i="22"/>
  <c r="G10" i="22"/>
  <c r="F18" i="20"/>
  <c r="F19" i="20" s="1"/>
  <c r="E20" i="22" s="1"/>
  <c r="G20" i="22" s="1"/>
  <c r="G19" i="19" l="1"/>
  <c r="G20" i="19" s="1"/>
  <c r="F32" i="11" l="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E24" i="22" l="1"/>
  <c r="G18" i="22"/>
  <c r="E25" i="22"/>
  <c r="G25" i="22" l="1"/>
  <c r="G24" i="22"/>
  <c r="E15" i="22"/>
  <c r="G12" i="7"/>
  <c r="G15" i="22" l="1"/>
  <c r="E23" i="22"/>
  <c r="E27" i="22" s="1"/>
  <c r="E15" i="13"/>
  <c r="F11" i="11"/>
  <c r="F33" i="11"/>
  <c r="G23" i="22" l="1"/>
  <c r="G30" i="13"/>
  <c r="E35" i="13" l="1"/>
  <c r="G35" i="13" s="1"/>
  <c r="E27" i="13"/>
  <c r="E19" i="13"/>
  <c r="G11" i="12"/>
  <c r="G23" i="12"/>
  <c r="G17" i="12"/>
  <c r="F10" i="11"/>
  <c r="F34" i="11" s="1"/>
  <c r="G27" i="12" l="1"/>
  <c r="G29" i="12" s="1"/>
  <c r="G16" i="22" s="1"/>
  <c r="E28" i="13"/>
  <c r="G28" i="13" s="1"/>
  <c r="G36" i="13" s="1"/>
  <c r="G17" i="22" s="1"/>
  <c r="G27" i="22" l="1"/>
</calcChain>
</file>

<file path=xl/sharedStrings.xml><?xml version="1.0" encoding="utf-8"?>
<sst xmlns="http://schemas.openxmlformats.org/spreadsheetml/2006/main" count="342" uniqueCount="168">
  <si>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</si>
  <si>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</si>
  <si>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</si>
  <si>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</si>
  <si>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</si>
  <si>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</si>
  <si>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</si>
  <si>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</si>
  <si>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</si>
  <si>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</si>
  <si>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</si>
  <si>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</si>
  <si>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</si>
  <si>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</si>
  <si>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</si>
  <si>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</si>
  <si>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</si>
  <si>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</si>
  <si>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</si>
  <si>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</si>
  <si>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</si>
  <si>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</si>
  <si>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</si>
  <si>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</si>
  <si>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</si>
  <si>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</si>
  <si>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</si>
  <si>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</si>
  <si>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</si>
  <si>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</si>
  <si>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</si>
  <si>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</si>
  <si>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</si>
  <si>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</si>
  <si>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</si>
  <si>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</si>
  <si>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</si>
  <si>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</si>
  <si>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</si>
  <si>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</si>
  <si>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</si>
  <si>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</si>
  <si>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</si>
  <si>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</si>
  <si>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</si>
  <si>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</si>
  <si>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</si>
  <si>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</si>
  <si>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</si>
  <si>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</si>
  <si>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</si>
  <si>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</si>
  <si>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</si>
  <si>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</si>
  <si>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</si>
  <si>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</si>
  <si>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</si>
  <si>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</si>
  <si>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</si>
  <si>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</si>
  <si>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</si>
  <si>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</si>
  <si>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</si>
  <si>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</si>
  <si>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</si>
  <si>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</si>
  <si>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</si>
  <si>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</si>
  <si>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</si>
  <si>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</si>
  <si>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</si>
  <si>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</si>
  <si>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</si>
  <si>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</si>
  <si>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</si>
  <si>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</si>
  <si>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</si>
  <si>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</si>
  <si>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</si>
  <si>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</si>
  <si>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</si>
  <si>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</si>
  <si>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</si>
  <si>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</si>
  <si>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</si>
  <si>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</si>
  <si>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</si>
  <si>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</si>
  <si>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</si>
  <si>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</si>
  <si>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</si>
  <si>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</si>
  <si>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</si>
  <si>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</si>
  <si>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</si>
  <si>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</si>
  <si>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</si>
  <si>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</si>
  <si>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</si>
  <si>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</si>
  <si>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</si>
  <si>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</si>
  <si>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</si>
  <si>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</si>
  <si>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</si>
  <si>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</si>
  <si>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</si>
  <si>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</si>
  <si>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</si>
  <si>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</si>
  <si>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</si>
  <si>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</si>
  <si>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</si>
  <si>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</si>
  <si>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</si>
  <si>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</si>
  <si>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</si>
  <si>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</si>
  <si>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Etageareal vandbehandlingsbygning</t>
  </si>
  <si>
    <t>Elanlæg - vandværk</t>
  </si>
  <si>
    <t>Afregningsmålere, elektroniske ≤ Ø 110mm (Qn 10)</t>
  </si>
  <si>
    <t>Instrumenter (flowmåler+tryk transducer+alarmer)</t>
  </si>
  <si>
    <t>SRO-anlæg, vandværk</t>
  </si>
  <si>
    <t>SRO anlæg</t>
  </si>
  <si>
    <t>Køretøjer, små lastvogne (&lt; 3.500 kg.)</t>
  </si>
  <si>
    <t>Køretøjer, entreprenørmaskiner</t>
  </si>
  <si>
    <t>Arbejdsplads</t>
  </si>
  <si>
    <t>Ø110 mm &lt; Ledningsnet ≤ Ø 250 mm</t>
  </si>
  <si>
    <t>Ø 50mm &lt; Ledningsnet ≤ Ø110 mm</t>
  </si>
  <si>
    <t>Ø 250 mm &lt; Ledningsnet ≤ Ø 500mm</t>
  </si>
  <si>
    <t>Ventiler på Ø110 mm &lt; Ledningsnet ≤ Ø 250 mm</t>
  </si>
  <si>
    <t>Ventiler på Ø 50mm &lt; Ledningsnet ≤ Ø110 mm</t>
  </si>
  <si>
    <t>Ventiler på ledningsnet ≤ Ø50 mm</t>
  </si>
  <si>
    <t>Pumpestation (inkl. evt. hydrofor)/trykforøger, Mek./EL</t>
  </si>
  <si>
    <t>Pumpestation (inkl. evt. hydrofor)/trykforøger, Konstruktioner</t>
  </si>
  <si>
    <t>Inspektionsbrønd, Mek./EL</t>
  </si>
  <si>
    <t>Inspektionsbrønd, Konstruktioner</t>
  </si>
  <si>
    <t>Boring (inkl. etablering, forerør, filter og prøvepumpning)</t>
  </si>
  <si>
    <t>Pumpe inkl. stigrør og forerørsforsejlinger mv.</t>
  </si>
  <si>
    <t>Stik på ledningsnet, Konstruktioner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</si>
  <si>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</si>
  <si>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</si>
  <si>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</si>
  <si>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</si>
  <si>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</si>
  <si>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</si>
  <si>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</si>
  <si>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</si>
  <si>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 xml:space="preserve">Erstatninger 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</si>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</sst>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2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8" fillId="9" borderId="2" xfId="0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 wrapText="1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view="pageLayout" zoomScaleNormal="100" workbookViewId="0">
      <selection activeCell="D18" sqref="D18:G18"/>
    </sheetView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117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76" t="s">
        <v>110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50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43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16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53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52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48</v>
      </c>
      <c r="D21" s="61" t="s">
        <v>51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116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2" t="s">
        <v>42</v>
      </c>
      <c r="E9" s="102"/>
      <c r="F9" s="102" t="s">
        <v>83</v>
      </c>
      <c r="G9" s="102"/>
      <c r="H9" s="2"/>
    </row>
    <row r="10" spans="1:8" x14ac:dyDescent="0.25">
      <c r="A10" s="2"/>
      <c r="B10" s="23" t="s">
        <v>163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tabSelected="1" view="pageLayout" zoomScaleNormal="100" workbookViewId="0">
      <selection activeCell="G15" sqref="G15"/>
    </sheetView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82"/>
      <c r="J3" s="82"/>
      <c r="K3" s="2"/>
    </row>
    <row r="4" spans="1:11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2"/>
    </row>
    <row r="5" spans="1:11" x14ac:dyDescent="0.25">
      <c r="A5" s="2"/>
      <c r="B5" s="83" t="s">
        <v>99</v>
      </c>
      <c r="C5" s="83"/>
      <c r="D5" s="83"/>
      <c r="E5" s="83"/>
      <c r="F5" s="83"/>
      <c r="G5" s="83"/>
      <c r="H5" s="83"/>
      <c r="I5" s="83"/>
      <c r="J5" s="83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9"/>
      <c r="I8" s="2"/>
      <c r="J8" s="2"/>
      <c r="K8" s="2"/>
    </row>
    <row r="9" spans="1:11" ht="15" customHeight="1" x14ac:dyDescent="0.25">
      <c r="A9" s="2"/>
      <c r="B9" s="84" t="s">
        <v>100</v>
      </c>
      <c r="C9" s="85"/>
      <c r="D9" s="86"/>
      <c r="E9" s="49">
        <v>55563671</v>
      </c>
      <c r="F9" s="13" t="s">
        <v>4</v>
      </c>
      <c r="G9" s="50" t="s">
        <v>101</v>
      </c>
      <c r="H9" s="13" t="s">
        <v>4</v>
      </c>
      <c r="I9" s="2"/>
      <c r="J9" s="2"/>
      <c r="K9" s="2"/>
    </row>
    <row r="10" spans="1:11" x14ac:dyDescent="0.25">
      <c r="A10" s="2"/>
      <c r="B10" s="87" t="s">
        <v>72</v>
      </c>
      <c r="C10" s="80"/>
      <c r="D10" s="81"/>
      <c r="E10" s="40" t="s">
        <v>101</v>
      </c>
      <c r="F10" s="8" t="s">
        <v>4</v>
      </c>
      <c r="G10" s="41">
        <f>'Fane 3. Korrigeret grundlag'!G9*(1+'Fane 2. Overblik ØR18-19'!E30/100)</f>
        <v>10710695.572436046</v>
      </c>
      <c r="H10" s="8" t="s">
        <v>4</v>
      </c>
      <c r="I10" s="2"/>
      <c r="J10" s="2"/>
      <c r="K10" s="2"/>
    </row>
    <row r="11" spans="1:11" x14ac:dyDescent="0.25">
      <c r="A11" s="2"/>
      <c r="B11" s="45" t="s">
        <v>73</v>
      </c>
      <c r="C11" s="43"/>
      <c r="D11" s="44"/>
      <c r="E11" s="40" t="s">
        <v>101</v>
      </c>
      <c r="F11" s="8" t="s">
        <v>4</v>
      </c>
      <c r="G11" s="41">
        <f>'Fane 3. Korrigeret grundlag'!G10*(1+'Fane 2. Overblik ØR18-19'!E30/100)</f>
        <v>14799112.43273335</v>
      </c>
      <c r="H11" s="8" t="s">
        <v>4</v>
      </c>
      <c r="I11" s="2"/>
      <c r="J11" s="2"/>
      <c r="K11" s="2"/>
    </row>
    <row r="12" spans="1:11" x14ac:dyDescent="0.25">
      <c r="A12" s="2"/>
      <c r="B12" s="45" t="s">
        <v>90</v>
      </c>
      <c r="C12" s="43"/>
      <c r="D12" s="44"/>
      <c r="E12" s="40" t="s">
        <v>101</v>
      </c>
      <c r="F12" s="8" t="s">
        <v>4</v>
      </c>
      <c r="G12" s="41">
        <f>'Fane 3. Korrigeret grundlag'!G11*(1+'Fane 2. Overblik ØR18-19'!E30/100)</f>
        <v>31956853.820876658</v>
      </c>
      <c r="H12" s="8" t="s">
        <v>4</v>
      </c>
      <c r="I12" s="2"/>
      <c r="J12" s="2"/>
      <c r="K12" s="2"/>
    </row>
    <row r="13" spans="1:11" x14ac:dyDescent="0.25">
      <c r="A13" s="2"/>
      <c r="B13" s="45" t="s">
        <v>166</v>
      </c>
      <c r="C13" s="43"/>
      <c r="D13" s="44"/>
      <c r="E13" s="40" t="s">
        <v>101</v>
      </c>
      <c r="F13" s="8" t="s">
        <v>4</v>
      </c>
      <c r="G13" s="41">
        <v>-845150</v>
      </c>
      <c r="H13" s="8" t="s">
        <v>4</v>
      </c>
      <c r="I13" s="2"/>
      <c r="J13" s="2"/>
      <c r="K13" s="2"/>
    </row>
    <row r="14" spans="1:11" x14ac:dyDescent="0.25">
      <c r="A14" s="2"/>
      <c r="B14" s="57" t="s">
        <v>165</v>
      </c>
      <c r="C14" s="55"/>
      <c r="D14" s="56"/>
      <c r="E14" s="40" t="s">
        <v>101</v>
      </c>
      <c r="F14" s="8" t="s">
        <v>4</v>
      </c>
      <c r="G14" s="41">
        <v>-840022</v>
      </c>
      <c r="H14" s="8" t="s">
        <v>4</v>
      </c>
      <c r="I14" s="2"/>
      <c r="J14" s="2"/>
      <c r="K14" s="2"/>
    </row>
    <row r="15" spans="1:11" x14ac:dyDescent="0.25">
      <c r="A15" s="2"/>
      <c r="B15" s="87" t="s">
        <v>102</v>
      </c>
      <c r="C15" s="80"/>
      <c r="D15" s="81"/>
      <c r="E15" s="41">
        <f>'Fane 4. Ikke-påvirkelige omk.'!G20</f>
        <v>-1280941.128093</v>
      </c>
      <c r="F15" s="8" t="s">
        <v>4</v>
      </c>
      <c r="G15" s="47">
        <f>E15*(1+E30/100)</f>
        <v>-1303357.5978346276</v>
      </c>
      <c r="H15" s="8" t="s">
        <v>4</v>
      </c>
      <c r="I15" s="2"/>
      <c r="J15" s="2"/>
      <c r="K15" s="2"/>
    </row>
    <row r="16" spans="1:11" x14ac:dyDescent="0.25">
      <c r="A16" s="2"/>
      <c r="B16" s="87" t="s">
        <v>71</v>
      </c>
      <c r="C16" s="80"/>
      <c r="D16" s="81"/>
      <c r="E16" s="40" t="s">
        <v>101</v>
      </c>
      <c r="F16" s="8" t="s">
        <v>4</v>
      </c>
      <c r="G16" s="47">
        <f>SUM('Fane 7. Korrektion af PL2016'!G11,'Fane 7. Korrektion af PL2016'!G17,'Fane 7. Korrektion af PL2016'!G23,'Fane 7. Korrektion af PL2016'!G29)</f>
        <v>2300462.7400000002</v>
      </c>
      <c r="H16" s="8" t="s">
        <v>4</v>
      </c>
      <c r="I16" s="2"/>
      <c r="J16" s="2"/>
      <c r="K16" s="2"/>
    </row>
    <row r="17" spans="1:11" x14ac:dyDescent="0.25">
      <c r="A17" s="2"/>
      <c r="B17" s="87" t="s">
        <v>103</v>
      </c>
      <c r="C17" s="80"/>
      <c r="D17" s="81"/>
      <c r="E17" s="40" t="s">
        <v>101</v>
      </c>
      <c r="F17" s="8" t="s">
        <v>4</v>
      </c>
      <c r="G17" s="41">
        <f>'Fane 8. Kontrol af PL2016'!G36</f>
        <v>-1935022</v>
      </c>
      <c r="H17" s="8" t="s">
        <v>4</v>
      </c>
      <c r="I17" s="2"/>
      <c r="J17" s="2"/>
      <c r="K17" s="2"/>
    </row>
    <row r="18" spans="1:11" x14ac:dyDescent="0.25">
      <c r="A18" s="2"/>
      <c r="B18" s="79" t="s">
        <v>104</v>
      </c>
      <c r="C18" s="80"/>
      <c r="D18" s="81"/>
      <c r="E18" s="41">
        <f>'Fane 9. Tillæg'!D12</f>
        <v>0</v>
      </c>
      <c r="F18" s="8" t="s">
        <v>4</v>
      </c>
      <c r="G18" s="41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79" t="s">
        <v>105</v>
      </c>
      <c r="C19" s="80"/>
      <c r="D19" s="81"/>
      <c r="E19" s="47">
        <f>'Fane 9. Tillæg'!F12</f>
        <v>0</v>
      </c>
      <c r="F19" s="8" t="s">
        <v>4</v>
      </c>
      <c r="G19" s="47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36" t="s">
        <v>149</v>
      </c>
      <c r="C20" s="34"/>
      <c r="D20" s="35"/>
      <c r="E20" s="47">
        <f>'Fane 9. Tillæg'!F19</f>
        <v>0</v>
      </c>
      <c r="F20" s="8" t="s">
        <v>4</v>
      </c>
      <c r="G20" s="47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79" t="s">
        <v>106</v>
      </c>
      <c r="C21" s="80"/>
      <c r="D21" s="81"/>
      <c r="E21" s="40" t="s">
        <v>101</v>
      </c>
      <c r="F21" s="8" t="s">
        <v>4</v>
      </c>
      <c r="G21" s="41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79" t="s">
        <v>106</v>
      </c>
      <c r="C22" s="80"/>
      <c r="D22" s="81"/>
      <c r="E22" s="40" t="s">
        <v>101</v>
      </c>
      <c r="F22" s="8" t="s">
        <v>4</v>
      </c>
      <c r="G22" s="41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79" t="s">
        <v>49</v>
      </c>
      <c r="C23" s="80"/>
      <c r="D23" s="81"/>
      <c r="E23" s="41">
        <f>SUM(E15:E20)*E30/100</f>
        <v>-22416.469741627501</v>
      </c>
      <c r="F23" s="8" t="s">
        <v>4</v>
      </c>
      <c r="G23" s="41">
        <f>SUM(G10:G15,G18:G22)*$E$30/100</f>
        <v>953367.31399369997</v>
      </c>
      <c r="H23" s="8" t="s">
        <v>4</v>
      </c>
      <c r="I23" s="2"/>
      <c r="J23" s="2"/>
      <c r="K23" s="2"/>
    </row>
    <row r="24" spans="1:11" x14ac:dyDescent="0.25">
      <c r="A24" s="2"/>
      <c r="B24" s="79" t="s">
        <v>15</v>
      </c>
      <c r="C24" s="80"/>
      <c r="D24" s="81"/>
      <c r="E24" s="41">
        <f>-SUM(E18)*(1+E30/100)*$E$32/100-E19*(1+E30/100)*$E$33/100</f>
        <v>0</v>
      </c>
      <c r="F24" s="8" t="s">
        <v>4</v>
      </c>
      <c r="G24" s="41">
        <f>-(G10+G18+G21+G13)*(1+E30/100)*$E$32/100-(G11+G19+G22+G14)*(1+E30/100)*E33/100</f>
        <v>-452163.58131999301</v>
      </c>
      <c r="H24" s="8" t="s">
        <v>4</v>
      </c>
      <c r="I24" s="2"/>
      <c r="J24" s="2"/>
      <c r="K24" s="2"/>
    </row>
    <row r="25" spans="1:11" x14ac:dyDescent="0.25">
      <c r="A25" s="2"/>
      <c r="B25" s="79" t="s">
        <v>14</v>
      </c>
      <c r="C25" s="80"/>
      <c r="D25" s="81"/>
      <c r="E25" s="41">
        <f>-(SUM(E18:E19))*(1+E30)*$E$31/100</f>
        <v>0</v>
      </c>
      <c r="F25" s="8" t="s">
        <v>4</v>
      </c>
      <c r="G25" s="41">
        <f>-(SUM(G10:G11)+SUM(G13:G14)+SUM(G18:G19)+SUM(G21:G22))*(1+E30/100)*$E$31/100</f>
        <v>-484831.34270519728</v>
      </c>
      <c r="H25" s="8" t="s">
        <v>4</v>
      </c>
      <c r="I25" s="2"/>
      <c r="J25" s="2"/>
      <c r="K25" s="2"/>
    </row>
    <row r="26" spans="1:11" x14ac:dyDescent="0.25">
      <c r="A26" s="2"/>
      <c r="B26" s="79" t="s">
        <v>16</v>
      </c>
      <c r="C26" s="80"/>
      <c r="D26" s="81"/>
      <c r="E26" s="40" t="s">
        <v>101</v>
      </c>
      <c r="F26" s="8" t="s">
        <v>4</v>
      </c>
      <c r="G26" s="41">
        <f>'Fane 5. Hist. over el. underdæk'!G13</f>
        <v>0</v>
      </c>
      <c r="H26" s="8" t="s">
        <v>4</v>
      </c>
      <c r="I26" s="2"/>
      <c r="J26" s="2"/>
      <c r="K26" s="2"/>
    </row>
    <row r="27" spans="1:11" x14ac:dyDescent="0.25">
      <c r="A27" s="2"/>
      <c r="B27" s="37" t="s">
        <v>107</v>
      </c>
      <c r="C27" s="38"/>
      <c r="D27" s="38"/>
      <c r="E27" s="48">
        <f>SUM(E9:E25)</f>
        <v>54260313.402165376</v>
      </c>
      <c r="F27" s="38" t="s">
        <v>4</v>
      </c>
      <c r="G27" s="51">
        <f>SUM(G10:G26)</f>
        <v>54859945.358179934</v>
      </c>
      <c r="H27" s="39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37" t="s">
        <v>108</v>
      </c>
      <c r="C29" s="38"/>
      <c r="D29" s="38"/>
      <c r="E29" s="38"/>
      <c r="F29" s="39"/>
      <c r="G29" s="2"/>
      <c r="H29" s="2"/>
      <c r="I29" s="2"/>
      <c r="J29" s="2"/>
      <c r="K29" s="2"/>
    </row>
    <row r="30" spans="1:11" ht="15" customHeight="1" x14ac:dyDescent="0.25">
      <c r="A30" s="2"/>
      <c r="B30" s="79" t="s">
        <v>156</v>
      </c>
      <c r="C30" s="80"/>
      <c r="D30" s="81"/>
      <c r="E30" s="52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79" t="s">
        <v>157</v>
      </c>
      <c r="C31" s="80"/>
      <c r="D31" s="81"/>
      <c r="E31" s="52">
        <v>2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79" t="s">
        <v>36</v>
      </c>
      <c r="C32" s="80"/>
      <c r="D32" s="81"/>
      <c r="E32" s="52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79" t="s">
        <v>158</v>
      </c>
      <c r="C33" s="80"/>
      <c r="D33" s="81"/>
      <c r="E33" s="52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  <mergeCell ref="B33:D33"/>
    <mergeCell ref="B24:D24"/>
    <mergeCell ref="B25:D25"/>
    <mergeCell ref="B30:D30"/>
    <mergeCell ref="B31:D31"/>
    <mergeCell ref="B32:D32"/>
    <mergeCell ref="B26:D2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10526482.13507228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14544582.243472578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31407227.34238492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56478291.720929779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44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140</v>
      </c>
      <c r="C10" s="96"/>
      <c r="D10" s="96"/>
      <c r="E10" s="53">
        <v>65669.504000000001</v>
      </c>
      <c r="F10" s="17" t="s">
        <v>4</v>
      </c>
      <c r="G10" s="21">
        <v>81096</v>
      </c>
      <c r="H10" s="17" t="s">
        <v>4</v>
      </c>
      <c r="I10" s="2"/>
    </row>
    <row r="11" spans="1:9" x14ac:dyDescent="0.25">
      <c r="A11" s="2"/>
      <c r="B11" s="95" t="s">
        <v>141</v>
      </c>
      <c r="C11" s="96"/>
      <c r="D11" s="96"/>
      <c r="E11" s="53">
        <v>98721.427599999995</v>
      </c>
      <c r="F11" s="17" t="s">
        <v>4</v>
      </c>
      <c r="G11" s="21">
        <v>98813</v>
      </c>
      <c r="H11" s="17" t="s">
        <v>4</v>
      </c>
      <c r="I11" s="2"/>
    </row>
    <row r="12" spans="1:9" x14ac:dyDescent="0.25">
      <c r="A12" s="2"/>
      <c r="B12" s="95" t="s">
        <v>142</v>
      </c>
      <c r="C12" s="96"/>
      <c r="D12" s="96"/>
      <c r="E12" s="53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143</v>
      </c>
      <c r="C13" s="96"/>
      <c r="D13" s="96"/>
      <c r="E13" s="53">
        <v>32399.4126</v>
      </c>
      <c r="F13" s="17" t="s">
        <v>4</v>
      </c>
      <c r="G13" s="21">
        <v>68999</v>
      </c>
      <c r="H13" s="17" t="s">
        <v>4</v>
      </c>
      <c r="I13" s="2"/>
    </row>
    <row r="14" spans="1:9" x14ac:dyDescent="0.25">
      <c r="A14" s="2"/>
      <c r="B14" s="95" t="s">
        <v>144</v>
      </c>
      <c r="C14" s="96"/>
      <c r="D14" s="96"/>
      <c r="E14" s="53">
        <f>21789154*0.9962</f>
        <v>21706355.2148</v>
      </c>
      <c r="F14" s="17" t="s">
        <v>4</v>
      </c>
      <c r="G14" s="21">
        <v>20519070</v>
      </c>
      <c r="H14" s="17" t="s">
        <v>4</v>
      </c>
      <c r="I14" s="2"/>
    </row>
    <row r="15" spans="1:9" x14ac:dyDescent="0.25">
      <c r="A15" s="2"/>
      <c r="B15" s="95" t="s">
        <v>145</v>
      </c>
      <c r="C15" s="96"/>
      <c r="D15" s="96"/>
      <c r="E15" s="53">
        <v>0</v>
      </c>
      <c r="F15" s="17" t="s">
        <v>4</v>
      </c>
      <c r="G15" s="21"/>
      <c r="H15" s="17" t="s">
        <v>4</v>
      </c>
      <c r="I15" s="2"/>
    </row>
    <row r="16" spans="1:9" x14ac:dyDescent="0.25">
      <c r="A16" s="2"/>
      <c r="B16" s="95" t="s">
        <v>146</v>
      </c>
      <c r="C16" s="96"/>
      <c r="D16" s="96"/>
      <c r="E16" s="53">
        <v>9110212.1405999996</v>
      </c>
      <c r="F16" s="17" t="s">
        <v>4</v>
      </c>
      <c r="G16" s="21">
        <v>8823471</v>
      </c>
      <c r="H16" s="17" t="s">
        <v>4</v>
      </c>
      <c r="I16" s="2"/>
    </row>
    <row r="17" spans="1:9" x14ac:dyDescent="0.25">
      <c r="A17" s="2"/>
      <c r="B17" s="95" t="s">
        <v>147</v>
      </c>
      <c r="C17" s="96"/>
      <c r="D17" s="96"/>
      <c r="E17" s="53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7" t="s">
        <v>148</v>
      </c>
      <c r="C18" s="98"/>
      <c r="D18" s="98"/>
      <c r="E18" s="53">
        <v>0</v>
      </c>
      <c r="F18" s="17" t="s">
        <v>4</v>
      </c>
      <c r="G18" s="21">
        <v>162998.5</v>
      </c>
      <c r="H18" s="17" t="s">
        <v>4</v>
      </c>
      <c r="I18" s="2"/>
    </row>
    <row r="19" spans="1:9" x14ac:dyDescent="0.25">
      <c r="A19" s="2"/>
      <c r="B19" s="91" t="s">
        <v>86</v>
      </c>
      <c r="C19" s="92"/>
      <c r="D19" s="92"/>
      <c r="E19" s="92"/>
      <c r="F19" s="93"/>
      <c r="G19" s="15">
        <f>SUM(G10:G18)-SUM(E10:E18)</f>
        <v>-1258910.1995999999</v>
      </c>
      <c r="H19" s="16" t="s">
        <v>4</v>
      </c>
      <c r="I19" s="2"/>
    </row>
    <row r="20" spans="1:9" x14ac:dyDescent="0.25">
      <c r="A20" s="2"/>
      <c r="B20" s="91" t="s">
        <v>87</v>
      </c>
      <c r="C20" s="92"/>
      <c r="D20" s="92"/>
      <c r="E20" s="92"/>
      <c r="F20" s="93"/>
      <c r="G20" s="15">
        <f>G19*(1+'Fane 2. Overblik ØR18-19'!E30/100)</f>
        <v>-1280941.128093</v>
      </c>
      <c r="H20" s="16" t="s">
        <v>4</v>
      </c>
      <c r="I20" s="2"/>
    </row>
    <row r="21" spans="1:9" x14ac:dyDescent="0.25">
      <c r="A21" s="2"/>
      <c r="B21" s="19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18"/>
      <c r="C22" s="18"/>
      <c r="D22" s="18"/>
      <c r="E22" s="18"/>
      <c r="F22" s="18"/>
      <c r="G22" s="18"/>
      <c r="H22" s="18"/>
      <c r="I22" s="2"/>
    </row>
    <row r="23" spans="1:9" x14ac:dyDescent="0.25">
      <c r="A23" s="2"/>
      <c r="B23" s="2"/>
      <c r="C23" s="2"/>
      <c r="D23" s="2"/>
      <c r="E23" s="2"/>
      <c r="F23" s="2"/>
      <c r="G23" s="18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</sheetData>
  <sheetProtection password="DFE9" sheet="1" objects="1" scenarios="1"/>
  <mergeCells count="14">
    <mergeCell ref="B20:F20"/>
    <mergeCell ref="B3:H4"/>
    <mergeCell ref="B8:H8"/>
    <mergeCell ref="B19:F19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8:D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111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45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38</v>
      </c>
      <c r="C9" s="80"/>
      <c r="D9" s="80"/>
      <c r="E9" s="80"/>
      <c r="F9" s="81"/>
      <c r="G9" s="21">
        <v>-8540861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-8540861</v>
      </c>
      <c r="H10" s="17" t="s">
        <v>4</v>
      </c>
      <c r="I10" s="2"/>
    </row>
    <row r="11" spans="1:9" x14ac:dyDescent="0.25">
      <c r="A11" s="2"/>
      <c r="B11" s="99" t="s">
        <v>41</v>
      </c>
      <c r="C11" s="100"/>
      <c r="D11" s="100"/>
      <c r="E11" s="100"/>
      <c r="F11" s="101"/>
      <c r="G11" s="54">
        <f>G9-G10</f>
        <v>0</v>
      </c>
      <c r="H11" s="26" t="s">
        <v>4</v>
      </c>
      <c r="I11" s="2"/>
    </row>
    <row r="12" spans="1:9" x14ac:dyDescent="0.25">
      <c r="A12" s="2"/>
      <c r="B12" s="79" t="s">
        <v>39</v>
      </c>
      <c r="C12" s="80"/>
      <c r="D12" s="80"/>
      <c r="E12" s="80"/>
      <c r="F12" s="81"/>
      <c r="G12" s="21">
        <v>0</v>
      </c>
      <c r="H12" s="17" t="s">
        <v>82</v>
      </c>
      <c r="I12" s="2"/>
    </row>
    <row r="13" spans="1:9" x14ac:dyDescent="0.25">
      <c r="A13" s="2"/>
      <c r="B13" s="91" t="s">
        <v>37</v>
      </c>
      <c r="C13" s="92"/>
      <c r="D13" s="92"/>
      <c r="E13" s="92"/>
      <c r="F13" s="93"/>
      <c r="G13" s="15">
        <f>IF(G12 = 0,0,G11/G12)</f>
        <v>0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53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40</v>
      </c>
      <c r="F9" s="102" t="s">
        <v>3</v>
      </c>
      <c r="G9" s="102"/>
      <c r="H9" s="2"/>
    </row>
    <row r="10" spans="1:8" x14ac:dyDescent="0.25">
      <c r="A10" s="2"/>
      <c r="B10" s="42" t="s">
        <v>118</v>
      </c>
      <c r="C10" s="28">
        <v>2016</v>
      </c>
      <c r="D10" s="22">
        <v>75</v>
      </c>
      <c r="E10" s="21">
        <v>6257368</v>
      </c>
      <c r="F10" s="9">
        <f>E10/D10</f>
        <v>83431.573333333334</v>
      </c>
      <c r="G10" s="17" t="s">
        <v>4</v>
      </c>
      <c r="H10" s="2"/>
    </row>
    <row r="11" spans="1:8" x14ac:dyDescent="0.25">
      <c r="A11" s="2"/>
      <c r="B11" s="42" t="s">
        <v>119</v>
      </c>
      <c r="C11" s="28">
        <v>2016</v>
      </c>
      <c r="D11" s="22">
        <v>25</v>
      </c>
      <c r="E11" s="21">
        <v>1777951</v>
      </c>
      <c r="F11" s="9">
        <f t="shared" ref="F11:F33" si="0">E11/D11</f>
        <v>71118.039999999994</v>
      </c>
      <c r="G11" s="17" t="s">
        <v>4</v>
      </c>
      <c r="H11" s="2"/>
    </row>
    <row r="12" spans="1:8" ht="26.25" x14ac:dyDescent="0.25">
      <c r="A12" s="2"/>
      <c r="B12" s="42" t="s">
        <v>120</v>
      </c>
      <c r="C12" s="28">
        <v>2016</v>
      </c>
      <c r="D12" s="22">
        <v>10</v>
      </c>
      <c r="E12" s="21">
        <v>27157</v>
      </c>
      <c r="F12" s="9">
        <f t="shared" si="0"/>
        <v>2715.7</v>
      </c>
      <c r="G12" s="17" t="s">
        <v>4</v>
      </c>
      <c r="H12" s="2"/>
    </row>
    <row r="13" spans="1:8" ht="26.25" x14ac:dyDescent="0.25">
      <c r="A13" s="2"/>
      <c r="B13" s="42" t="s">
        <v>121</v>
      </c>
      <c r="C13" s="28">
        <v>2016</v>
      </c>
      <c r="D13" s="22">
        <v>10</v>
      </c>
      <c r="E13" s="21">
        <v>15974</v>
      </c>
      <c r="F13" s="9">
        <f t="shared" si="0"/>
        <v>1597.4</v>
      </c>
      <c r="G13" s="17" t="s">
        <v>4</v>
      </c>
      <c r="H13" s="2"/>
    </row>
    <row r="14" spans="1:8" x14ac:dyDescent="0.25">
      <c r="A14" s="2"/>
      <c r="B14" s="42" t="s">
        <v>122</v>
      </c>
      <c r="C14" s="28">
        <v>2016</v>
      </c>
      <c r="D14" s="22">
        <v>10</v>
      </c>
      <c r="E14" s="21">
        <v>476455</v>
      </c>
      <c r="F14" s="9">
        <f t="shared" si="0"/>
        <v>47645.5</v>
      </c>
      <c r="G14" s="17" t="s">
        <v>4</v>
      </c>
      <c r="H14" s="2"/>
    </row>
    <row r="15" spans="1:8" x14ac:dyDescent="0.25">
      <c r="A15" s="2"/>
      <c r="B15" s="42" t="s">
        <v>123</v>
      </c>
      <c r="C15" s="28">
        <v>2016</v>
      </c>
      <c r="D15" s="22">
        <v>10</v>
      </c>
      <c r="E15" s="21">
        <v>55865</v>
      </c>
      <c r="F15" s="9">
        <f t="shared" si="0"/>
        <v>5586.5</v>
      </c>
      <c r="G15" s="17" t="s">
        <v>4</v>
      </c>
      <c r="H15" s="2"/>
    </row>
    <row r="16" spans="1:8" x14ac:dyDescent="0.25">
      <c r="A16" s="2"/>
      <c r="B16" s="42" t="s">
        <v>124</v>
      </c>
      <c r="C16" s="28">
        <v>2016</v>
      </c>
      <c r="D16" s="22">
        <v>5</v>
      </c>
      <c r="E16" s="21">
        <v>54296</v>
      </c>
      <c r="F16" s="9">
        <f t="shared" si="0"/>
        <v>10859.2</v>
      </c>
      <c r="G16" s="17" t="s">
        <v>4</v>
      </c>
      <c r="H16" s="2"/>
    </row>
    <row r="17" spans="1:8" x14ac:dyDescent="0.25">
      <c r="A17" s="2"/>
      <c r="B17" s="42" t="s">
        <v>124</v>
      </c>
      <c r="C17" s="28">
        <v>2016</v>
      </c>
      <c r="D17" s="22">
        <v>5</v>
      </c>
      <c r="E17" s="21">
        <v>59560</v>
      </c>
      <c r="F17" s="9">
        <f t="shared" si="0"/>
        <v>11912</v>
      </c>
      <c r="G17" s="17" t="s">
        <v>4</v>
      </c>
      <c r="H17" s="2"/>
    </row>
    <row r="18" spans="1:8" x14ac:dyDescent="0.25">
      <c r="A18" s="2"/>
      <c r="B18" s="42" t="s">
        <v>125</v>
      </c>
      <c r="C18" s="28">
        <v>2016</v>
      </c>
      <c r="D18" s="22">
        <v>5</v>
      </c>
      <c r="E18" s="21">
        <v>241908</v>
      </c>
      <c r="F18" s="9">
        <f t="shared" si="0"/>
        <v>48381.599999999999</v>
      </c>
      <c r="G18" s="17" t="s">
        <v>4</v>
      </c>
      <c r="H18" s="2"/>
    </row>
    <row r="19" spans="1:8" x14ac:dyDescent="0.25">
      <c r="A19" s="2"/>
      <c r="B19" s="42" t="s">
        <v>126</v>
      </c>
      <c r="C19" s="28">
        <v>2016</v>
      </c>
      <c r="D19" s="22">
        <v>5</v>
      </c>
      <c r="E19" s="21">
        <v>69696</v>
      </c>
      <c r="F19" s="9">
        <f t="shared" si="0"/>
        <v>13939.2</v>
      </c>
      <c r="G19" s="17" t="s">
        <v>4</v>
      </c>
      <c r="H19" s="2"/>
    </row>
    <row r="20" spans="1:8" x14ac:dyDescent="0.25">
      <c r="A20" s="2"/>
      <c r="B20" s="42" t="s">
        <v>126</v>
      </c>
      <c r="C20" s="28">
        <v>2016</v>
      </c>
      <c r="D20" s="22">
        <v>5</v>
      </c>
      <c r="E20" s="21">
        <v>224959</v>
      </c>
      <c r="F20" s="9">
        <f t="shared" si="0"/>
        <v>44991.8</v>
      </c>
      <c r="G20" s="17" t="s">
        <v>4</v>
      </c>
      <c r="H20" s="2"/>
    </row>
    <row r="21" spans="1:8" x14ac:dyDescent="0.25">
      <c r="A21" s="2"/>
      <c r="B21" s="42" t="s">
        <v>127</v>
      </c>
      <c r="C21" s="28">
        <v>2016</v>
      </c>
      <c r="D21" s="22">
        <v>75</v>
      </c>
      <c r="E21" s="21">
        <v>3589001</v>
      </c>
      <c r="F21" s="9">
        <f t="shared" si="0"/>
        <v>47853.346666666665</v>
      </c>
      <c r="G21" s="17" t="s">
        <v>4</v>
      </c>
      <c r="H21" s="2"/>
    </row>
    <row r="22" spans="1:8" x14ac:dyDescent="0.25">
      <c r="A22" s="2"/>
      <c r="B22" s="42" t="s">
        <v>128</v>
      </c>
      <c r="C22" s="28">
        <v>2016</v>
      </c>
      <c r="D22" s="22">
        <v>75</v>
      </c>
      <c r="E22" s="21">
        <v>8061687</v>
      </c>
      <c r="F22" s="9">
        <f t="shared" si="0"/>
        <v>107489.16</v>
      </c>
      <c r="G22" s="17" t="s">
        <v>4</v>
      </c>
      <c r="H22" s="2"/>
    </row>
    <row r="23" spans="1:8" x14ac:dyDescent="0.25">
      <c r="A23" s="2"/>
      <c r="B23" s="42" t="s">
        <v>129</v>
      </c>
      <c r="C23" s="28">
        <v>2016</v>
      </c>
      <c r="D23" s="22">
        <v>75</v>
      </c>
      <c r="E23" s="21">
        <v>26160</v>
      </c>
      <c r="F23" s="9">
        <f t="shared" si="0"/>
        <v>348.8</v>
      </c>
      <c r="G23" s="17" t="s">
        <v>4</v>
      </c>
      <c r="H23" s="2"/>
    </row>
    <row r="24" spans="1:8" x14ac:dyDescent="0.25">
      <c r="A24" s="2"/>
      <c r="B24" s="42" t="s">
        <v>130</v>
      </c>
      <c r="C24" s="28">
        <v>2016</v>
      </c>
      <c r="D24" s="22">
        <v>75</v>
      </c>
      <c r="E24" s="21">
        <v>37005</v>
      </c>
      <c r="F24" s="9">
        <f t="shared" si="0"/>
        <v>493.4</v>
      </c>
      <c r="G24" s="17" t="s">
        <v>4</v>
      </c>
      <c r="H24" s="2"/>
    </row>
    <row r="25" spans="1:8" x14ac:dyDescent="0.25">
      <c r="A25" s="2"/>
      <c r="B25" s="42" t="s">
        <v>131</v>
      </c>
      <c r="C25" s="28">
        <v>2016</v>
      </c>
      <c r="D25" s="22">
        <v>75</v>
      </c>
      <c r="E25" s="21">
        <v>701812</v>
      </c>
      <c r="F25" s="9">
        <f t="shared" si="0"/>
        <v>9357.4933333333338</v>
      </c>
      <c r="G25" s="17" t="s">
        <v>4</v>
      </c>
      <c r="H25" s="2"/>
    </row>
    <row r="26" spans="1:8" x14ac:dyDescent="0.25">
      <c r="A26" s="2"/>
      <c r="B26" s="42" t="s">
        <v>132</v>
      </c>
      <c r="C26" s="28">
        <v>2016</v>
      </c>
      <c r="D26" s="22">
        <v>75</v>
      </c>
      <c r="E26" s="21">
        <v>36109</v>
      </c>
      <c r="F26" s="9">
        <f t="shared" si="0"/>
        <v>481.45333333333332</v>
      </c>
      <c r="G26" s="17" t="s">
        <v>4</v>
      </c>
      <c r="H26" s="2"/>
    </row>
    <row r="27" spans="1:8" ht="26.25" x14ac:dyDescent="0.25">
      <c r="A27" s="2"/>
      <c r="B27" s="42" t="s">
        <v>133</v>
      </c>
      <c r="C27" s="28">
        <v>2016</v>
      </c>
      <c r="D27" s="22">
        <v>25</v>
      </c>
      <c r="E27" s="21">
        <v>202392</v>
      </c>
      <c r="F27" s="9">
        <f t="shared" si="0"/>
        <v>8095.68</v>
      </c>
      <c r="G27" s="17" t="s">
        <v>4</v>
      </c>
      <c r="H27" s="2"/>
    </row>
    <row r="28" spans="1:8" ht="26.25" x14ac:dyDescent="0.25">
      <c r="A28" s="2"/>
      <c r="B28" s="42" t="s">
        <v>134</v>
      </c>
      <c r="C28" s="28">
        <v>2016</v>
      </c>
      <c r="D28" s="22">
        <v>50</v>
      </c>
      <c r="E28" s="21">
        <v>401143</v>
      </c>
      <c r="F28" s="9">
        <f t="shared" si="0"/>
        <v>8022.86</v>
      </c>
      <c r="G28" s="17" t="s">
        <v>4</v>
      </c>
      <c r="H28" s="2"/>
    </row>
    <row r="29" spans="1:8" x14ac:dyDescent="0.25">
      <c r="A29" s="2"/>
      <c r="B29" s="42" t="s">
        <v>135</v>
      </c>
      <c r="C29" s="28">
        <v>2016</v>
      </c>
      <c r="D29" s="22">
        <v>15</v>
      </c>
      <c r="E29" s="21">
        <v>270448</v>
      </c>
      <c r="F29" s="9">
        <f t="shared" si="0"/>
        <v>18029.866666666665</v>
      </c>
      <c r="G29" s="17" t="s">
        <v>4</v>
      </c>
      <c r="H29" s="2"/>
    </row>
    <row r="30" spans="1:8" x14ac:dyDescent="0.25">
      <c r="A30" s="2"/>
      <c r="B30" s="42" t="s">
        <v>136</v>
      </c>
      <c r="C30" s="28">
        <v>2016</v>
      </c>
      <c r="D30" s="22">
        <v>50</v>
      </c>
      <c r="E30" s="21">
        <v>145868</v>
      </c>
      <c r="F30" s="9">
        <f t="shared" si="0"/>
        <v>2917.36</v>
      </c>
      <c r="G30" s="17" t="s">
        <v>4</v>
      </c>
      <c r="H30" s="2"/>
    </row>
    <row r="31" spans="1:8" ht="26.25" x14ac:dyDescent="0.25">
      <c r="A31" s="2"/>
      <c r="B31" s="42" t="s">
        <v>137</v>
      </c>
      <c r="C31" s="28">
        <v>2016</v>
      </c>
      <c r="D31" s="22">
        <v>30</v>
      </c>
      <c r="E31" s="21">
        <v>783709</v>
      </c>
      <c r="F31" s="9">
        <f t="shared" si="0"/>
        <v>26123.633333333335</v>
      </c>
      <c r="G31" s="17" t="s">
        <v>4</v>
      </c>
      <c r="H31" s="2"/>
    </row>
    <row r="32" spans="1:8" x14ac:dyDescent="0.25">
      <c r="A32" s="2"/>
      <c r="B32" s="42" t="s">
        <v>138</v>
      </c>
      <c r="C32" s="28">
        <v>2016</v>
      </c>
      <c r="D32" s="22">
        <v>15</v>
      </c>
      <c r="E32" s="21">
        <v>274431</v>
      </c>
      <c r="F32" s="9">
        <f t="shared" si="0"/>
        <v>18295.400000000001</v>
      </c>
      <c r="G32" s="17" t="s">
        <v>4</v>
      </c>
      <c r="H32" s="2"/>
    </row>
    <row r="33" spans="1:8" x14ac:dyDescent="0.25">
      <c r="A33" s="2"/>
      <c r="B33" s="42" t="s">
        <v>139</v>
      </c>
      <c r="C33" s="28">
        <v>2016</v>
      </c>
      <c r="D33" s="22">
        <v>75</v>
      </c>
      <c r="E33" s="21">
        <v>1546208</v>
      </c>
      <c r="F33" s="9">
        <f t="shared" si="0"/>
        <v>20616.106666666667</v>
      </c>
      <c r="G33" s="17" t="s">
        <v>4</v>
      </c>
      <c r="H33" s="2"/>
    </row>
    <row r="34" spans="1:8" x14ac:dyDescent="0.25">
      <c r="A34" s="2"/>
      <c r="B34" s="91" t="s">
        <v>54</v>
      </c>
      <c r="C34" s="92"/>
      <c r="D34" s="92"/>
      <c r="E34" s="93"/>
      <c r="F34" s="15">
        <f>SUM(F10:F33)</f>
        <v>610303.07333333336</v>
      </c>
      <c r="G34" s="16" t="s">
        <v>4</v>
      </c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</sheetData>
  <sheetProtection password="DFE9" sheet="1" objects="1" scenarios="1"/>
  <mergeCells count="4">
    <mergeCell ref="B34:E34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topLeftCell="A7" zoomScaleNormal="100" workbookViewId="0">
      <selection activeCell="G17" sqref="G17"/>
    </sheetView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113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159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55</v>
      </c>
      <c r="C9" s="80"/>
      <c r="D9" s="80"/>
      <c r="E9" s="80"/>
      <c r="F9" s="81"/>
      <c r="G9" s="21">
        <v>29708199</v>
      </c>
      <c r="H9" s="17" t="s">
        <v>4</v>
      </c>
      <c r="I9" s="2"/>
    </row>
    <row r="10" spans="1:9" x14ac:dyDescent="0.25">
      <c r="A10" s="2"/>
      <c r="B10" s="79" t="s">
        <v>56</v>
      </c>
      <c r="C10" s="80"/>
      <c r="D10" s="80"/>
      <c r="E10" s="80"/>
      <c r="F10" s="81"/>
      <c r="G10" s="21">
        <v>28064479</v>
      </c>
      <c r="H10" s="17" t="s">
        <v>4</v>
      </c>
      <c r="I10" s="2"/>
    </row>
    <row r="11" spans="1:9" x14ac:dyDescent="0.25">
      <c r="A11" s="2"/>
      <c r="B11" s="91" t="s">
        <v>160</v>
      </c>
      <c r="C11" s="92"/>
      <c r="D11" s="92"/>
      <c r="E11" s="92"/>
      <c r="F11" s="93"/>
      <c r="G11" s="15">
        <f>G9-G10</f>
        <v>1643720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161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57</v>
      </c>
      <c r="C15" s="80"/>
      <c r="D15" s="80"/>
      <c r="E15" s="80"/>
      <c r="F15" s="81"/>
      <c r="G15" s="21">
        <v>1174081</v>
      </c>
      <c r="H15" s="17" t="s">
        <v>4</v>
      </c>
      <c r="I15" s="2"/>
    </row>
    <row r="16" spans="1:9" x14ac:dyDescent="0.25">
      <c r="A16" s="2"/>
      <c r="B16" s="79" t="s">
        <v>58</v>
      </c>
      <c r="C16" s="80"/>
      <c r="D16" s="80"/>
      <c r="E16" s="80"/>
      <c r="F16" s="81"/>
      <c r="G16" s="21">
        <v>941250</v>
      </c>
      <c r="H16" s="17" t="s">
        <v>4</v>
      </c>
      <c r="I16" s="2"/>
    </row>
    <row r="17" spans="1:9" x14ac:dyDescent="0.25">
      <c r="A17" s="2"/>
      <c r="B17" s="91" t="s">
        <v>161</v>
      </c>
      <c r="C17" s="92"/>
      <c r="D17" s="92"/>
      <c r="E17" s="92"/>
      <c r="F17" s="93"/>
      <c r="G17" s="15">
        <f>G15-G16</f>
        <v>232831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162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59</v>
      </c>
      <c r="C21" s="80"/>
      <c r="D21" s="80"/>
      <c r="E21" s="80"/>
      <c r="F21" s="81"/>
      <c r="G21" s="21">
        <v>1772942</v>
      </c>
      <c r="H21" s="17" t="s">
        <v>4</v>
      </c>
      <c r="I21" s="2"/>
    </row>
    <row r="22" spans="1:9" x14ac:dyDescent="0.25">
      <c r="A22" s="2"/>
      <c r="B22" s="79" t="s">
        <v>60</v>
      </c>
      <c r="C22" s="80"/>
      <c r="D22" s="80"/>
      <c r="E22" s="80"/>
      <c r="F22" s="81"/>
      <c r="G22" s="21">
        <v>1405000</v>
      </c>
      <c r="H22" s="17" t="s">
        <v>4</v>
      </c>
      <c r="I22" s="2"/>
    </row>
    <row r="23" spans="1:9" x14ac:dyDescent="0.25">
      <c r="A23" s="2"/>
      <c r="B23" s="91" t="s">
        <v>162</v>
      </c>
      <c r="C23" s="92"/>
      <c r="D23" s="92"/>
      <c r="E23" s="92"/>
      <c r="F23" s="93"/>
      <c r="G23" s="15">
        <f>G21-G22</f>
        <v>367942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88" t="s">
        <v>61</v>
      </c>
      <c r="C26" s="89"/>
      <c r="D26" s="89"/>
      <c r="E26" s="89"/>
      <c r="F26" s="89"/>
      <c r="G26" s="89"/>
      <c r="H26" s="90"/>
      <c r="I26" s="2"/>
    </row>
    <row r="27" spans="1:9" x14ac:dyDescent="0.25">
      <c r="A27" s="2"/>
      <c r="B27" s="79" t="s">
        <v>62</v>
      </c>
      <c r="C27" s="80"/>
      <c r="D27" s="80"/>
      <c r="E27" s="80"/>
      <c r="F27" s="81"/>
      <c r="G27" s="9">
        <f>'Fane 6. Gen. inv. i 2016'!F34</f>
        <v>610303.07333333336</v>
      </c>
      <c r="H27" s="17" t="s">
        <v>4</v>
      </c>
      <c r="I27" s="2"/>
    </row>
    <row r="28" spans="1:9" x14ac:dyDescent="0.25">
      <c r="A28" s="2"/>
      <c r="B28" s="79" t="s">
        <v>63</v>
      </c>
      <c r="C28" s="80"/>
      <c r="D28" s="80"/>
      <c r="E28" s="80"/>
      <c r="F28" s="81"/>
      <c r="G28" s="21">
        <v>554333.33333333337</v>
      </c>
      <c r="H28" s="17" t="s">
        <v>4</v>
      </c>
      <c r="I28" s="2"/>
    </row>
    <row r="29" spans="1:9" x14ac:dyDescent="0.25">
      <c r="A29" s="2"/>
      <c r="B29" s="91" t="s">
        <v>61</v>
      </c>
      <c r="C29" s="92"/>
      <c r="D29" s="92"/>
      <c r="E29" s="92"/>
      <c r="F29" s="93"/>
      <c r="G29" s="15">
        <f>G27-G28</f>
        <v>55969.739999999991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21:F21"/>
    <mergeCell ref="B22:F22"/>
    <mergeCell ref="B28:F28"/>
    <mergeCell ref="B29:F29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114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6" t="s">
        <v>65</v>
      </c>
      <c r="C9" s="107"/>
      <c r="D9" s="107"/>
      <c r="E9" s="107"/>
      <c r="F9" s="108"/>
      <c r="G9" s="20">
        <v>47083189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17</v>
      </c>
      <c r="C11" s="80"/>
      <c r="D11" s="81"/>
      <c r="E11" s="21">
        <v>7478555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2994845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66292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1192396</v>
      </c>
      <c r="F14" s="17" t="s">
        <v>4</v>
      </c>
      <c r="G14" s="10"/>
      <c r="H14" s="30"/>
      <c r="I14" s="2"/>
    </row>
    <row r="15" spans="1:9" x14ac:dyDescent="0.25">
      <c r="A15" s="2"/>
      <c r="B15" s="106" t="s">
        <v>18</v>
      </c>
      <c r="C15" s="107"/>
      <c r="D15" s="108"/>
      <c r="E15" s="12">
        <f>SUM(E11:E14)</f>
        <v>11732088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19</v>
      </c>
      <c r="C16" s="80"/>
      <c r="D16" s="81"/>
      <c r="E16" s="21">
        <v>1887151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20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21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6" t="s">
        <v>22</v>
      </c>
      <c r="C19" s="107"/>
      <c r="D19" s="108"/>
      <c r="E19" s="12">
        <f>SUM(E16:E18)</f>
        <v>1887151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3" t="s">
        <v>23</v>
      </c>
      <c r="C20" s="104"/>
      <c r="D20" s="105"/>
      <c r="E20" s="21">
        <v>-2474729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3" t="s">
        <v>24</v>
      </c>
      <c r="C21" s="104"/>
      <c r="D21" s="105"/>
      <c r="E21" s="21">
        <v>-6337162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25</v>
      </c>
      <c r="C22" s="80"/>
      <c r="D22" s="81"/>
      <c r="E22" s="21">
        <v>-5289732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26</v>
      </c>
      <c r="C23" s="80"/>
      <c r="D23" s="81"/>
      <c r="E23" s="21">
        <v>-165040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3" t="s">
        <v>27</v>
      </c>
      <c r="C24" s="104"/>
      <c r="D24" s="105"/>
      <c r="E24" s="21">
        <v>-853531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3" t="s">
        <v>28</v>
      </c>
      <c r="C25" s="104"/>
      <c r="D25" s="105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3" t="s">
        <v>29</v>
      </c>
      <c r="C26" s="104"/>
      <c r="D26" s="105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6" t="s">
        <v>30</v>
      </c>
      <c r="C27" s="107"/>
      <c r="D27" s="108"/>
      <c r="E27" s="12">
        <f>SUM(E20:E26)</f>
        <v>-15120194</v>
      </c>
      <c r="F27" s="25" t="s">
        <v>4</v>
      </c>
      <c r="G27" s="11"/>
      <c r="H27" s="31"/>
      <c r="I27" s="2"/>
    </row>
    <row r="28" spans="1:9" x14ac:dyDescent="0.25">
      <c r="A28" s="2"/>
      <c r="B28" s="106" t="s">
        <v>31</v>
      </c>
      <c r="C28" s="107"/>
      <c r="D28" s="108"/>
      <c r="E28" s="12">
        <f>E15+E19+E27</f>
        <v>-1500955</v>
      </c>
      <c r="F28" s="25" t="s">
        <v>4</v>
      </c>
      <c r="G28" s="1">
        <f>IF(E28&lt;0,0,-E28)</f>
        <v>0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6" t="s">
        <v>70</v>
      </c>
      <c r="C30" s="107"/>
      <c r="D30" s="108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9" t="s">
        <v>46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3" t="s">
        <v>47</v>
      </c>
      <c r="C32" s="104"/>
      <c r="D32" s="105"/>
      <c r="E32" s="21">
        <v>48930378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32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3" t="s">
        <v>33</v>
      </c>
      <c r="C34" s="104"/>
      <c r="D34" s="105"/>
      <c r="E34" s="21">
        <v>87833</v>
      </c>
      <c r="F34" s="17" t="s">
        <v>4</v>
      </c>
      <c r="G34" s="11"/>
      <c r="H34" s="31"/>
      <c r="I34" s="2"/>
    </row>
    <row r="35" spans="1:9" x14ac:dyDescent="0.25">
      <c r="A35" s="2"/>
      <c r="B35" s="106" t="s">
        <v>34</v>
      </c>
      <c r="C35" s="107"/>
      <c r="D35" s="108"/>
      <c r="E35" s="12">
        <f>SUM(E32:E34)</f>
        <v>49018211</v>
      </c>
      <c r="F35" s="25" t="s">
        <v>4</v>
      </c>
      <c r="G35" s="12">
        <f>-E35</f>
        <v>-49018211</v>
      </c>
      <c r="H35" s="25" t="s">
        <v>4</v>
      </c>
      <c r="I35" s="2"/>
    </row>
    <row r="36" spans="1:9" x14ac:dyDescent="0.25">
      <c r="A36" s="2"/>
      <c r="B36" s="91" t="s">
        <v>155</v>
      </c>
      <c r="C36" s="92"/>
      <c r="D36" s="92"/>
      <c r="E36" s="92"/>
      <c r="F36" s="93"/>
      <c r="G36" s="15">
        <f>$G$9+$G$28+$G$30+$G$35</f>
        <v>-1935022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115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153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2" t="s">
        <v>42</v>
      </c>
      <c r="E9" s="102"/>
      <c r="F9" s="102" t="s">
        <v>83</v>
      </c>
      <c r="G9" s="102"/>
      <c r="H9" s="2"/>
    </row>
    <row r="10" spans="1:8" x14ac:dyDescent="0.25">
      <c r="A10" s="2"/>
      <c r="B10" s="110" t="s">
        <v>154</v>
      </c>
      <c r="C10" s="111"/>
      <c r="D10" s="46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149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167</v>
      </c>
      <c r="C16" s="85"/>
      <c r="D16" s="85"/>
      <c r="E16" s="86"/>
      <c r="F16" s="102" t="s">
        <v>150</v>
      </c>
      <c r="G16" s="102"/>
      <c r="H16" s="2"/>
    </row>
    <row r="17" spans="1:8" x14ac:dyDescent="0.25">
      <c r="A17" s="2"/>
      <c r="B17" s="79" t="s">
        <v>164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151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152</v>
      </c>
      <c r="C19" s="92"/>
      <c r="D19" s="92"/>
      <c r="E19" s="93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2017-10-12T10:07:18Z</dcterms:modified>
</cp:coreProperties>
</file>