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G19" i="19" l="1"/>
  <c r="G20" i="19" s="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2" i="7"/>
  <c r="I20" i="22" l="1"/>
  <c r="K17" i="22"/>
  <c r="E14" i="22"/>
  <c r="E15" i="13"/>
  <c r="E19" i="22" l="1"/>
  <c r="E21" i="22" s="1"/>
  <c r="G14" i="22"/>
  <c r="G30" i="13"/>
  <c r="G19" i="22" l="1"/>
  <c r="G21" i="22" s="1"/>
  <c r="I14" i="22"/>
  <c r="E35" i="13"/>
  <c r="G35" i="13" s="1"/>
  <c r="E27" i="13"/>
  <c r="E19" i="13"/>
  <c r="G11" i="12"/>
  <c r="G29" i="12"/>
  <c r="G23" i="12"/>
  <c r="G17" i="12"/>
  <c r="F11" i="11"/>
  <c r="G33" i="12" s="1"/>
  <c r="G35" i="12" s="1"/>
  <c r="K15" i="22" s="1"/>
  <c r="K14" i="22" l="1"/>
  <c r="I19" i="22"/>
  <c r="I21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<sst xmlns="http://schemas.openxmlformats.org/spreadsheetml/2006/main" count="318" uniqueCount="143">
  <si>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</si>
  <si>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</si>
  <si>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</si>
  <si>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</si>
  <si>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</si>
  <si>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</si>
  <si>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</si>
  <si>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</si>
  <si>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</si>
  <si>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</si>
  <si>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</si>
  <si>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</si>
  <si>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</si>
  <si>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</si>
  <si>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</si>
  <si>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</si>
  <si>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</si>
  <si>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</si>
  <si>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</si>
  <si>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</si>
  <si>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</si>
  <si>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</si>
  <si>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</si>
  <si>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</si>
  <si>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</si>
  <si>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</si>
  <si>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</si>
  <si>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</si>
  <si>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</si>
  <si>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</si>
  <si>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</si>
  <si>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</si>
  <si>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</si>
  <si>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</si>
  <si>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</si>
  <si>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</si>
  <si>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</si>
  <si>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</si>
  <si>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</si>
  <si>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</si>
  <si>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</si>
  <si>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</si>
  <si>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</si>
  <si>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</si>
  <si>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</si>
  <si>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</si>
  <si>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</si>
  <si>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</si>
  <si>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</si>
  <si>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</si>
  <si>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</si>
  <si>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</si>
  <si>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</si>
  <si>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</si>
  <si>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</si>
  <si>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</si>
  <si>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</si>
  <si>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</si>
  <si>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</si>
  <si>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</si>
  <si>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</si>
  <si>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</si>
  <si>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</si>
  <si>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</si>
  <si>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</si>
  <si>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</si>
  <si>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</si>
  <si>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</si>
  <si>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</si>
  <si>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</si>
  <si>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</si>
  <si>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</si>
  <si>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</si>
  <si>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</si>
  <si>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</si>
  <si>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</si>
  <si>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</si>
  <si>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</si>
  <si>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</si>
  <si>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</si>
  <si>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</si>
  <si>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</si>
  <si>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</si>
  <si>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</si>
  <si>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</si>
  <si>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</si>
  <si>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</si>
  <si>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</si>
  <si>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</si>
  <si>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</si>
  <si>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</si>
  <si>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</si>
  <si>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</si>
  <si>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</si>
  <si>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</si>
  <si>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</si>
  <si>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</si>
  <si>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</si>
  <si>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</si>
  <si>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</si>
  <si>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</si>
  <si>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</si>
  <si>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</si>
  <si>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</si>
  <si>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</si>
  <si>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</si>
  <si>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</si>
  <si>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</si>
  <si>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</si>
  <si>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</si>
  <si>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</si>
  <si>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</si>
  <si>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</si>
  <si>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</si>
  <si>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</si>
  <si>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</si>
  <si>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</si>
  <si>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</si>
  <si>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</si>
  <si>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</si>
  <si>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</si>
  <si>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</si>
  <si>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</si>
  <si>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</si>
  <si>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</si>
  <si>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Ingen gennemførte investeringer i 2016</t>
  </si>
  <si>
    <t>Erstatninger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</si>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</sst>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3" t="s">
        <v>80</v>
      </c>
      <c r="C9" s="34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24" t="s">
        <v>138</v>
      </c>
      <c r="C10" s="25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8"/>
      <c r="C8" s="39"/>
      <c r="D8" s="39"/>
      <c r="E8" s="39">
        <v>2018</v>
      </c>
      <c r="F8" s="40"/>
      <c r="G8" s="39">
        <v>2019</v>
      </c>
      <c r="H8" s="39"/>
      <c r="I8" s="39">
        <v>2020</v>
      </c>
      <c r="J8" s="39"/>
      <c r="K8" s="39">
        <v>2021</v>
      </c>
      <c r="L8" s="40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4736238.6713588573</v>
      </c>
      <c r="F9" s="13" t="s">
        <v>4</v>
      </c>
      <c r="G9" s="48">
        <v>4746256.8178109657</v>
      </c>
      <c r="H9" s="13" t="s">
        <v>4</v>
      </c>
      <c r="I9" s="48">
        <v>4756656.3315767804</v>
      </c>
      <c r="J9" s="13" t="s">
        <v>4</v>
      </c>
      <c r="K9" s="57" t="s">
        <v>106</v>
      </c>
      <c r="L9" s="41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2" t="s">
        <v>106</v>
      </c>
      <c r="F10" s="8" t="s">
        <v>4</v>
      </c>
      <c r="G10" s="42" t="s">
        <v>106</v>
      </c>
      <c r="H10" s="8" t="s">
        <v>4</v>
      </c>
      <c r="I10" s="42" t="s">
        <v>106</v>
      </c>
      <c r="J10" s="8" t="s">
        <v>4</v>
      </c>
      <c r="K10" s="43">
        <f>'Fane 3. Korrigeret grundlag'!G9*(1+E25/100)^3</f>
        <v>1659407.4707971127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2" t="s">
        <v>106</v>
      </c>
      <c r="F11" s="8" t="s">
        <v>4</v>
      </c>
      <c r="G11" s="42" t="s">
        <v>106</v>
      </c>
      <c r="H11" s="8" t="s">
        <v>4</v>
      </c>
      <c r="I11" s="42" t="s">
        <v>106</v>
      </c>
      <c r="J11" s="8" t="s">
        <v>4</v>
      </c>
      <c r="K11" s="43">
        <f>'Fane 3. Korrigeret grundlag'!G10*(1+E25/100)^3</f>
        <v>1717809.7838572899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2" t="s">
        <v>106</v>
      </c>
      <c r="F12" s="8" t="s">
        <v>4</v>
      </c>
      <c r="G12" s="42" t="s">
        <v>106</v>
      </c>
      <c r="H12" s="8" t="s">
        <v>4</v>
      </c>
      <c r="I12" s="42" t="s">
        <v>106</v>
      </c>
      <c r="J12" s="8" t="s">
        <v>4</v>
      </c>
      <c r="K12" s="43">
        <f>'Fane 3. Korrigeret grundlag'!G11*(1+E25/100)^3</f>
        <v>2029636.4917908695</v>
      </c>
      <c r="L12" s="8" t="s">
        <v>4</v>
      </c>
      <c r="M12" s="2"/>
    </row>
    <row r="13" spans="1:13" x14ac:dyDescent="0.25">
      <c r="A13" s="2"/>
      <c r="B13" s="44" t="s">
        <v>142</v>
      </c>
      <c r="C13" s="45"/>
      <c r="D13" s="46"/>
      <c r="E13" s="42" t="s">
        <v>106</v>
      </c>
      <c r="F13" s="8" t="s">
        <v>4</v>
      </c>
      <c r="G13" s="42" t="s">
        <v>106</v>
      </c>
      <c r="H13" s="8" t="s">
        <v>4</v>
      </c>
      <c r="I13" s="42" t="s">
        <v>106</v>
      </c>
      <c r="J13" s="8" t="s">
        <v>4</v>
      </c>
      <c r="K13" s="43">
        <v>-225616.94828527584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3">
        <f>'Fane 4. Ikke-påvirkelige omk.'!G20</f>
        <v>-46144.402166499844</v>
      </c>
      <c r="F14" s="8" t="s">
        <v>4</v>
      </c>
      <c r="G14" s="9">
        <f>E14*(1+$E$25/100)</f>
        <v>-46951.929204413595</v>
      </c>
      <c r="H14" s="8" t="s">
        <v>4</v>
      </c>
      <c r="I14" s="9">
        <f>G14*(1+$E$25/100)</f>
        <v>-47773.587965490835</v>
      </c>
      <c r="J14" s="8" t="s">
        <v>4</v>
      </c>
      <c r="K14" s="51">
        <f>I14*(1+$E$25/100)</f>
        <v>-48609.625754886925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2" t="s">
        <v>106</v>
      </c>
      <c r="F15" s="8" t="s">
        <v>4</v>
      </c>
      <c r="G15" s="42" t="s">
        <v>106</v>
      </c>
      <c r="H15" s="8" t="s">
        <v>4</v>
      </c>
      <c r="I15" s="42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-517287.33333333337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2" t="s">
        <v>106</v>
      </c>
      <c r="F16" s="8" t="s">
        <v>4</v>
      </c>
      <c r="G16" s="42" t="s">
        <v>106</v>
      </c>
      <c r="H16" s="8" t="s">
        <v>4</v>
      </c>
      <c r="I16" s="42" t="s">
        <v>106</v>
      </c>
      <c r="J16" s="8" t="s">
        <v>4</v>
      </c>
      <c r="K16" s="51">
        <f>'Fane 8. Kontrol af PL2016'!G36</f>
        <v>-511279.64832585678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2" t="s">
        <v>106</v>
      </c>
      <c r="F18" s="8" t="s">
        <v>4</v>
      </c>
      <c r="G18" s="42" t="s">
        <v>106</v>
      </c>
      <c r="H18" s="8" t="s">
        <v>4</v>
      </c>
      <c r="I18" s="42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3">
        <f>(E17+E14)*($E$25/100)</f>
        <v>-807.52703791374734</v>
      </c>
      <c r="F19" s="8" t="s">
        <v>4</v>
      </c>
      <c r="G19" s="43">
        <f>(G17+G14)*($E$25/100)</f>
        <v>-821.65876107723795</v>
      </c>
      <c r="H19" s="8" t="s">
        <v>4</v>
      </c>
      <c r="I19" s="43">
        <f>(I17+I14)*($E$25/100)</f>
        <v>-836.03778939608969</v>
      </c>
      <c r="J19" s="8" t="s">
        <v>4</v>
      </c>
      <c r="K19" s="43">
        <f>SUM(K10:K14,K17:K18)*($E$25/100)</f>
        <v>89820.975517089406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3">
        <f>-E17*(1+$E$25/100)*($E$26/100)</f>
        <v>0</v>
      </c>
      <c r="F20" s="8" t="s">
        <v>4</v>
      </c>
      <c r="G20" s="43">
        <f>-G17*(1+$E$25/100)*($E$26/100)</f>
        <v>0</v>
      </c>
      <c r="H20" s="8" t="s">
        <v>4</v>
      </c>
      <c r="I20" s="43">
        <f>-I17*(1+$E$25/100)*($E$26/100)</f>
        <v>0</v>
      </c>
      <c r="J20" s="8" t="s">
        <v>4</v>
      </c>
      <c r="K20" s="43">
        <f>-SUM(K10:K11,K13,K17:K18)*(1+$E$25/100)*($E$26/100)</f>
        <v>-54514.806299419979</v>
      </c>
      <c r="L20" s="8" t="s">
        <v>4</v>
      </c>
      <c r="M20" s="2"/>
    </row>
    <row r="21" spans="1:13" x14ac:dyDescent="0.25">
      <c r="A21" s="2"/>
      <c r="B21" s="38" t="s">
        <v>110</v>
      </c>
      <c r="C21" s="39"/>
      <c r="D21" s="39"/>
      <c r="E21" s="49">
        <f>SUM(E9:E20)</f>
        <v>4689286.7421544436</v>
      </c>
      <c r="F21" s="39" t="s">
        <v>4</v>
      </c>
      <c r="G21" s="49">
        <f>SUM(G9:G20)</f>
        <v>4698483.2298454745</v>
      </c>
      <c r="H21" s="39" t="s">
        <v>4</v>
      </c>
      <c r="I21" s="49">
        <f>SUM(I9:I20)</f>
        <v>4708046.7058218932</v>
      </c>
      <c r="J21" s="39" t="s">
        <v>4</v>
      </c>
      <c r="K21" s="52">
        <f>SUM(K9:K20)</f>
        <v>4139366.3599635884</v>
      </c>
      <c r="L21" s="40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8" t="s">
        <v>111</v>
      </c>
      <c r="C24" s="39"/>
      <c r="D24" s="39"/>
      <c r="E24" s="39"/>
      <c r="F24" s="39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7" t="s">
        <v>112</v>
      </c>
      <c r="C25" s="35"/>
      <c r="D25" s="36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9"/>
      <c r="C27" s="39"/>
      <c r="D27" s="39"/>
      <c r="E27" s="39"/>
      <c r="F27" s="39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1575251.0845623654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1630691.5406335935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1926704.0442002597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5132646.6693962179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118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119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120</v>
      </c>
      <c r="C13" s="96"/>
      <c r="D13" s="96"/>
      <c r="E13" s="55">
        <v>32399.4126</v>
      </c>
      <c r="F13" s="17" t="s">
        <v>4</v>
      </c>
      <c r="G13" s="21">
        <v>4224</v>
      </c>
      <c r="H13" s="17" t="s">
        <v>4</v>
      </c>
      <c r="I13" s="2"/>
    </row>
    <row r="14" spans="1:9" x14ac:dyDescent="0.25">
      <c r="A14" s="2"/>
      <c r="B14" s="95" t="s">
        <v>121</v>
      </c>
      <c r="C14" s="96"/>
      <c r="D14" s="96"/>
      <c r="E14" s="55">
        <v>1870142.3511999999</v>
      </c>
      <c r="F14" s="17" t="s">
        <v>4</v>
      </c>
      <c r="G14" s="21">
        <v>1773739</v>
      </c>
      <c r="H14" s="17" t="s">
        <v>4</v>
      </c>
      <c r="I14" s="2"/>
    </row>
    <row r="15" spans="1:9" x14ac:dyDescent="0.25">
      <c r="A15" s="2"/>
      <c r="B15" s="95" t="s">
        <v>122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123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126</v>
      </c>
      <c r="C18" s="98"/>
      <c r="D18" s="98"/>
      <c r="E18" s="55">
        <v>0</v>
      </c>
      <c r="F18" s="17" t="s">
        <v>4</v>
      </c>
      <c r="G18" s="21">
        <v>79228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-45350.763799999841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-46144.402166499844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-4881205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-3429881.1349206348</v>
      </c>
      <c r="H10" s="17" t="s">
        <v>4</v>
      </c>
      <c r="I10" s="2"/>
    </row>
    <row r="11" spans="1:9" x14ac:dyDescent="0.25">
      <c r="A11" s="2"/>
      <c r="B11" s="99" t="s">
        <v>39</v>
      </c>
      <c r="C11" s="100"/>
      <c r="D11" s="100"/>
      <c r="E11" s="100"/>
      <c r="F11" s="101"/>
      <c r="G11" s="56">
        <f>G9-G10</f>
        <v>-1451323.8650793652</v>
      </c>
      <c r="H11" s="27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-483774.62169312174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8" t="s">
        <v>0</v>
      </c>
      <c r="C9" s="13" t="s">
        <v>1</v>
      </c>
      <c r="D9" s="28" t="s">
        <v>2</v>
      </c>
      <c r="E9" s="28" t="s">
        <v>38</v>
      </c>
      <c r="F9" s="102" t="s">
        <v>3</v>
      </c>
      <c r="G9" s="102"/>
      <c r="H9" s="2"/>
    </row>
    <row r="10" spans="1:8" x14ac:dyDescent="0.25">
      <c r="A10" s="2"/>
      <c r="B10" s="23" t="s">
        <v>125</v>
      </c>
      <c r="C10" s="29"/>
      <c r="D10" s="22"/>
      <c r="E10" s="21"/>
      <c r="F10" s="9"/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0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1798272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2189700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-391428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2474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-5000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7474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3" t="s">
        <v>59</v>
      </c>
      <c r="C27" s="104"/>
      <c r="D27" s="104"/>
      <c r="E27" s="104"/>
      <c r="F27" s="105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2016'!F11</f>
        <v>0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133333.33333333334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-133333.33333333334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5931456.3516741432</v>
      </c>
      <c r="H9" s="26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1238282</v>
      </c>
      <c r="F11" s="17" t="s">
        <v>4</v>
      </c>
      <c r="G11" s="14"/>
      <c r="H11" s="30"/>
      <c r="I11" s="2"/>
    </row>
    <row r="12" spans="1:9" x14ac:dyDescent="0.25">
      <c r="A12" s="2"/>
      <c r="B12" s="87" t="s">
        <v>67</v>
      </c>
      <c r="C12" s="80"/>
      <c r="D12" s="81"/>
      <c r="E12" s="21">
        <v>260117</v>
      </c>
      <c r="F12" s="17" t="s">
        <v>4</v>
      </c>
      <c r="G12" s="10"/>
      <c r="H12" s="31"/>
      <c r="I12" s="2"/>
    </row>
    <row r="13" spans="1:9" x14ac:dyDescent="0.25">
      <c r="A13" s="2"/>
      <c r="B13" s="87" t="s">
        <v>68</v>
      </c>
      <c r="C13" s="80"/>
      <c r="D13" s="81"/>
      <c r="E13" s="21">
        <v>39634</v>
      </c>
      <c r="F13" s="17" t="s">
        <v>4</v>
      </c>
      <c r="G13" s="10"/>
      <c r="H13" s="31"/>
      <c r="I13" s="2"/>
    </row>
    <row r="14" spans="1:9" x14ac:dyDescent="0.25">
      <c r="A14" s="2"/>
      <c r="B14" s="87" t="s">
        <v>69</v>
      </c>
      <c r="C14" s="80"/>
      <c r="D14" s="81"/>
      <c r="E14" s="21">
        <v>273333</v>
      </c>
      <c r="F14" s="17" t="s">
        <v>4</v>
      </c>
      <c r="G14" s="10"/>
      <c r="H14" s="31"/>
      <c r="I14" s="2"/>
    </row>
    <row r="15" spans="1:9" x14ac:dyDescent="0.25">
      <c r="A15" s="2"/>
      <c r="B15" s="106" t="s">
        <v>17</v>
      </c>
      <c r="C15" s="107"/>
      <c r="D15" s="108"/>
      <c r="E15" s="12">
        <f>SUM(E11:E14)</f>
        <v>1811366</v>
      </c>
      <c r="F15" s="26" t="s">
        <v>4</v>
      </c>
      <c r="G15" s="10"/>
      <c r="H15" s="31"/>
      <c r="I15" s="2"/>
    </row>
    <row r="16" spans="1:9" x14ac:dyDescent="0.25">
      <c r="A16" s="2"/>
      <c r="B16" s="87" t="s">
        <v>18</v>
      </c>
      <c r="C16" s="80"/>
      <c r="D16" s="81"/>
      <c r="E16" s="21">
        <v>0</v>
      </c>
      <c r="F16" s="17" t="s">
        <v>4</v>
      </c>
      <c r="G16" s="10"/>
      <c r="H16" s="31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1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1"/>
      <c r="I18" s="2"/>
    </row>
    <row r="19" spans="1:9" x14ac:dyDescent="0.25">
      <c r="A19" s="2"/>
      <c r="B19" s="106" t="s">
        <v>21</v>
      </c>
      <c r="C19" s="107"/>
      <c r="D19" s="108"/>
      <c r="E19" s="12">
        <f>SUM(E16:E18)</f>
        <v>0</v>
      </c>
      <c r="F19" s="26" t="s">
        <v>4</v>
      </c>
      <c r="G19" s="10"/>
      <c r="H19" s="31"/>
      <c r="I19" s="2"/>
    </row>
    <row r="20" spans="1:9" ht="29.25" customHeight="1" x14ac:dyDescent="0.25">
      <c r="A20" s="2"/>
      <c r="B20" s="103" t="s">
        <v>22</v>
      </c>
      <c r="C20" s="104"/>
      <c r="D20" s="105"/>
      <c r="E20" s="21">
        <v>0</v>
      </c>
      <c r="F20" s="17" t="s">
        <v>4</v>
      </c>
      <c r="G20" s="10"/>
      <c r="H20" s="31"/>
      <c r="I20" s="2"/>
    </row>
    <row r="21" spans="1:9" ht="30.75" customHeight="1" x14ac:dyDescent="0.25">
      <c r="A21" s="2"/>
      <c r="B21" s="103" t="s">
        <v>23</v>
      </c>
      <c r="C21" s="104"/>
      <c r="D21" s="105"/>
      <c r="E21" s="21">
        <v>0</v>
      </c>
      <c r="F21" s="17" t="s">
        <v>4</v>
      </c>
      <c r="G21" s="10"/>
      <c r="H21" s="31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1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1"/>
      <c r="I23" s="2"/>
    </row>
    <row r="24" spans="1:9" ht="30" customHeight="1" x14ac:dyDescent="0.25">
      <c r="A24" s="2"/>
      <c r="B24" s="103" t="s">
        <v>26</v>
      </c>
      <c r="C24" s="104"/>
      <c r="D24" s="105"/>
      <c r="E24" s="21">
        <v>0</v>
      </c>
      <c r="F24" s="17" t="s">
        <v>4</v>
      </c>
      <c r="G24" s="10"/>
      <c r="H24" s="31"/>
      <c r="I24" s="2"/>
    </row>
    <row r="25" spans="1:9" ht="30" customHeight="1" x14ac:dyDescent="0.25">
      <c r="A25" s="2"/>
      <c r="B25" s="103" t="s">
        <v>27</v>
      </c>
      <c r="C25" s="104"/>
      <c r="D25" s="105"/>
      <c r="E25" s="21">
        <v>0</v>
      </c>
      <c r="F25" s="17" t="s">
        <v>4</v>
      </c>
      <c r="G25" s="10"/>
      <c r="H25" s="31"/>
      <c r="I25" s="2"/>
    </row>
    <row r="26" spans="1:9" ht="30" customHeight="1" x14ac:dyDescent="0.25">
      <c r="A26" s="2"/>
      <c r="B26" s="103" t="s">
        <v>28</v>
      </c>
      <c r="C26" s="104"/>
      <c r="D26" s="105"/>
      <c r="E26" s="21">
        <v>0</v>
      </c>
      <c r="F26" s="17" t="s">
        <v>4</v>
      </c>
      <c r="G26" s="10"/>
      <c r="H26" s="31"/>
      <c r="I26" s="2"/>
    </row>
    <row r="27" spans="1:9" x14ac:dyDescent="0.25">
      <c r="A27" s="2"/>
      <c r="B27" s="106" t="s">
        <v>29</v>
      </c>
      <c r="C27" s="107"/>
      <c r="D27" s="108"/>
      <c r="E27" s="12">
        <f>SUM(E20:E26)</f>
        <v>0</v>
      </c>
      <c r="F27" s="26" t="s">
        <v>4</v>
      </c>
      <c r="G27" s="11"/>
      <c r="H27" s="32"/>
      <c r="I27" s="2"/>
    </row>
    <row r="28" spans="1:9" x14ac:dyDescent="0.25">
      <c r="A28" s="2"/>
      <c r="B28" s="106" t="s">
        <v>30</v>
      </c>
      <c r="C28" s="107"/>
      <c r="D28" s="108"/>
      <c r="E28" s="12">
        <f>E15+E19+E27</f>
        <v>1811366</v>
      </c>
      <c r="F28" s="26" t="s">
        <v>4</v>
      </c>
      <c r="G28" s="1">
        <f>IF(E28&lt;0,0,-E28)</f>
        <v>-1811366</v>
      </c>
      <c r="H28" s="26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0</v>
      </c>
      <c r="F30" s="26" t="s">
        <v>4</v>
      </c>
      <c r="G30" s="12">
        <f>-$E$30</f>
        <v>0</v>
      </c>
      <c r="H30" s="26" t="s">
        <v>4</v>
      </c>
      <c r="I30" s="2"/>
    </row>
    <row r="31" spans="1:9" x14ac:dyDescent="0.25">
      <c r="A31" s="2"/>
      <c r="B31" s="109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45</v>
      </c>
      <c r="C32" s="104"/>
      <c r="D32" s="105"/>
      <c r="E32" s="21">
        <v>4562122</v>
      </c>
      <c r="F32" s="17" t="s">
        <v>4</v>
      </c>
      <c r="G32" s="14"/>
      <c r="H32" s="30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1"/>
      <c r="I33" s="2"/>
    </row>
    <row r="34" spans="1:9" ht="43.5" customHeight="1" x14ac:dyDescent="0.25">
      <c r="A34" s="2"/>
      <c r="B34" s="103" t="s">
        <v>32</v>
      </c>
      <c r="C34" s="104"/>
      <c r="D34" s="105"/>
      <c r="E34" s="21">
        <v>69248</v>
      </c>
      <c r="F34" s="17" t="s">
        <v>4</v>
      </c>
      <c r="G34" s="11"/>
      <c r="H34" s="32"/>
      <c r="I34" s="2"/>
    </row>
    <row r="35" spans="1:9" x14ac:dyDescent="0.25">
      <c r="A35" s="2"/>
      <c r="B35" s="106" t="s">
        <v>33</v>
      </c>
      <c r="C35" s="107"/>
      <c r="D35" s="108"/>
      <c r="E35" s="12">
        <f>SUM(E32:E34)</f>
        <v>4631370</v>
      </c>
      <c r="F35" s="26" t="s">
        <v>4</v>
      </c>
      <c r="G35" s="12">
        <f>-E35</f>
        <v>-4631370</v>
      </c>
      <c r="H35" s="26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-511279.64832585678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131</v>
      </c>
      <c r="C10" s="111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141</v>
      </c>
      <c r="C16" s="85"/>
      <c r="D16" s="85"/>
      <c r="E16" s="86"/>
      <c r="F16" s="102" t="s">
        <v>127</v>
      </c>
      <c r="G16" s="102"/>
      <c r="H16" s="2"/>
    </row>
    <row r="17" spans="1:8" x14ac:dyDescent="0.25">
      <c r="A17" s="2"/>
      <c r="B17" s="87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2017-09-14T07:57:04Z</dcterms:modified>
</cp:coreProperties>
</file>