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D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G3" i="16" s="1"/>
  <c r="J3" i="24"/>
  <c r="E6" i="16"/>
  <c r="D5" i="16"/>
  <c r="D6" i="16"/>
  <c r="F3" i="16" l="1"/>
  <c r="M3" i="24"/>
  <c r="B9" i="12" s="1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<sst xmlns="http://schemas.openxmlformats.org/spreadsheetml/2006/main" count="111" uniqueCount="75">
  <si>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</si>
  <si>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</si>
  <si>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</si>
  <si>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</si>
  <si>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</si>
  <si>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</si>
  <si>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</si>
  <si>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</si>
  <si>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</si>
  <si>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</si>
  <si>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</si>
  <si>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</si>
  <si>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</si>
  <si>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</si>
  <si>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</si>
  <si>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</si>
  <si>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</si>
  <si>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</si>
  <si>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</si>
  <si>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</si>
  <si>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</si>
  <si>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</si>
  <si>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Skærpet krav til fjernelse af fosfor</t>
  </si>
  <si>
    <t>TV-inspektion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</si>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</sst>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44215874.91531866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1002999.473488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195511.93493333331</v>
      </c>
      <c r="C4" t="s">
        <v>11</v>
      </c>
    </row>
    <row r="5" spans="1:3" s="26" customFormat="1" x14ac:dyDescent="0.25">
      <c r="A5" s="3" t="s">
        <v>12</v>
      </c>
      <c r="B5" s="48">
        <f>SUM(B2:B4)</f>
        <v>45414386.323739998</v>
      </c>
      <c r="C5" s="62" t="s">
        <v>11</v>
      </c>
    </row>
    <row r="6" spans="1:3" x14ac:dyDescent="0.25">
      <c r="A6" s="47" t="s">
        <v>0</v>
      </c>
      <c r="B6" s="38">
        <f>Investeringer!E3</f>
        <v>100888733.29006423</v>
      </c>
      <c r="C6" s="23" t="s">
        <v>11</v>
      </c>
    </row>
    <row r="7" spans="1:3" x14ac:dyDescent="0.25">
      <c r="A7" s="4" t="s">
        <v>1</v>
      </c>
      <c r="B7" s="35">
        <f>Investeringer!F3</f>
        <v>10425138.832688654</v>
      </c>
      <c r="C7" t="s">
        <v>11</v>
      </c>
    </row>
    <row r="8" spans="1:3" x14ac:dyDescent="0.25">
      <c r="A8" s="4" t="s">
        <v>2</v>
      </c>
      <c r="B8" s="35">
        <f>Investeringer!G3</f>
        <v>2092125.2392424515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2017545.3347519999</v>
      </c>
      <c r="C9" t="s">
        <v>11</v>
      </c>
    </row>
    <row r="10" spans="1:3" s="22" customFormat="1" x14ac:dyDescent="0.25">
      <c r="A10" s="3" t="s">
        <v>48</v>
      </c>
      <c r="B10" s="48">
        <f>SUM(B6:B9)</f>
        <v>115423542.69674733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8523558</v>
      </c>
      <c r="C11" t="s">
        <v>11</v>
      </c>
    </row>
    <row r="12" spans="1:3" s="22" customFormat="1" x14ac:dyDescent="0.25">
      <c r="A12" s="3" t="s">
        <v>68</v>
      </c>
      <c r="B12" s="48">
        <f>SUM(B11:B11)</f>
        <v>8523558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169361487.02048734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170860630.86960605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69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41649821</v>
      </c>
      <c r="C2" s="49">
        <v>0</v>
      </c>
      <c r="D2" s="49">
        <f>B2+C2</f>
        <v>41649821</v>
      </c>
      <c r="E2" s="50">
        <f>D2</f>
        <v>41649821</v>
      </c>
      <c r="F2" s="49">
        <v>55164580.253942728</v>
      </c>
      <c r="G2" s="49">
        <v>0</v>
      </c>
      <c r="H2" s="49">
        <f>F2-G2</f>
        <v>55164580.253942728</v>
      </c>
      <c r="I2" s="49">
        <f>AVERAGEIF(E2:E4,"&lt;&gt;0")</f>
        <v>44215874.91531866</v>
      </c>
      <c r="J2" s="49">
        <v>43510970.851484314</v>
      </c>
      <c r="K2" s="39">
        <f>IF(H2&gt;I2,IF(I2&gt;J2,I2,J2),H2)</f>
        <v>44215874.91531866</v>
      </c>
    </row>
    <row r="3" spans="1:11" s="23" customFormat="1" x14ac:dyDescent="0.25">
      <c r="A3" s="28">
        <v>2014</v>
      </c>
      <c r="B3" s="49">
        <v>43281458</v>
      </c>
      <c r="C3" s="49"/>
      <c r="D3" s="49">
        <f t="shared" ref="D3:D4" si="0">B3+C3</f>
        <v>43281458</v>
      </c>
      <c r="E3" s="50">
        <f>D3*Pristalsregulering!C7</f>
        <v>43316083.166399993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46939513</v>
      </c>
      <c r="C4" s="49"/>
      <c r="D4" s="49">
        <f t="shared" si="0"/>
        <v>46939513</v>
      </c>
      <c r="E4" s="50">
        <f>D4*Pristalsregulering!$C$6*Pristalsregulering!$C$7</f>
        <v>47681720.579555988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10" max="53" width="0" hidden="1" customWidth="1"/>
    <col min="54" max="54" width="9.140625" hidden="1" customWidth="1"/>
    <col min="55" max="71" width="0" hidden="1" customWidth="1"/>
    <col min="72" max="72" width="9.140625" hidden="1" customWidth="1"/>
    <col min="73" max="101" width="0" hidden="1" customWidth="1"/>
    <col min="102" max="102" width="9.140625" hidden="1" customWidth="1"/>
    <col min="103" max="146" width="0" hidden="1" customWidth="1"/>
    <col min="147" max="147" width="9.140625" hidden="1" customWidth="1"/>
    <col min="148" max="164" width="0" hidden="1" customWidth="1"/>
    <col min="165" max="165" width="9.140625" hidden="1" customWidth="1"/>
    <col min="166" max="182" width="0" hidden="1" customWidth="1"/>
    <col min="183" max="183" width="9.140625" hidden="1" customWidth="1"/>
    <col min="184" max="194" width="0" hidden="1" customWidth="1"/>
    <col min="195" max="195" width="9.140625" hidden="1" customWidth="1"/>
    <col min="196" max="239" width="0" hidden="1" customWidth="1"/>
    <col min="240" max="240" width="9.140625" hidden="1" customWidth="1"/>
    <col min="241" max="257" width="0" hidden="1" customWidth="1"/>
    <col min="258" max="258" width="9.140625" hidden="1" customWidth="1"/>
    <col min="259" max="275" width="0" hidden="1" customWidth="1"/>
    <col min="276" max="276" width="9.140625" hidden="1" customWidth="1"/>
    <col min="277" max="293" width="0" hidden="1" customWidth="1"/>
    <col min="294" max="294" width="9.140625" hidden="1" customWidth="1"/>
    <col min="295" max="305" width="0" hidden="1" customWidth="1"/>
    <col min="306" max="306" width="9.140625" hidden="1" customWidth="1"/>
    <col min="307" max="323" width="0" hidden="1" customWidth="1"/>
    <col min="324" max="324" width="9.140625" hidden="1" customWidth="1"/>
    <col min="325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71</v>
      </c>
      <c r="C1" s="33"/>
      <c r="D1" s="63" t="s">
        <v>72</v>
      </c>
      <c r="E1" s="10"/>
      <c r="F1" s="63" t="s">
        <v>73</v>
      </c>
      <c r="G1" s="10"/>
      <c r="H1" s="63"/>
    </row>
    <row r="2" spans="1:8" ht="30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2">
        <v>0</v>
      </c>
      <c r="C3" s="72">
        <v>0</v>
      </c>
      <c r="D3" s="45">
        <f>B3/Pristalsregulering!$C$8</f>
        <v>0</v>
      </c>
      <c r="E3" s="35">
        <f>C3/Pristalsregulering!$C$8</f>
        <v>0</v>
      </c>
      <c r="F3" s="45">
        <f>IF(D4=0,0,AVERAGEIF(D4:D6,"&lt;&gt;0"))+D3</f>
        <v>542917.47348799999</v>
      </c>
      <c r="G3" s="38">
        <f>IF(E4=0,0,AVERAGEIF(E4:E6,"&lt;&gt;0"))+E3</f>
        <v>460082</v>
      </c>
      <c r="H3" s="57">
        <f>SUM(F3:G3)</f>
        <v>1002999.473488</v>
      </c>
    </row>
    <row r="4" spans="1:8" x14ac:dyDescent="0.25">
      <c r="A4" s="28">
        <v>2015</v>
      </c>
      <c r="B4" s="35">
        <v>438000</v>
      </c>
      <c r="C4" s="35">
        <v>460082</v>
      </c>
      <c r="D4" s="45">
        <f>B4</f>
        <v>438000</v>
      </c>
      <c r="E4" s="35">
        <f>C4</f>
        <v>460082</v>
      </c>
      <c r="F4" s="45"/>
      <c r="G4" s="38"/>
      <c r="H4" s="54"/>
    </row>
    <row r="5" spans="1:8" x14ac:dyDescent="0.25">
      <c r="A5" s="28">
        <v>2014</v>
      </c>
      <c r="B5" s="35">
        <v>430000</v>
      </c>
      <c r="C5" s="35"/>
      <c r="D5" s="45">
        <f>B5*Pristalsregulering!$C$7</f>
        <v>430343.99999999994</v>
      </c>
      <c r="E5" s="35">
        <f>C5*Pristalsregulering!$C$7</f>
        <v>0</v>
      </c>
      <c r="F5" s="45"/>
      <c r="G5" s="35"/>
      <c r="H5" s="45"/>
    </row>
    <row r="6" spans="1:8" x14ac:dyDescent="0.25">
      <c r="A6" s="28">
        <v>2013</v>
      </c>
      <c r="B6" s="35">
        <v>748572</v>
      </c>
      <c r="C6" s="35"/>
      <c r="D6" s="45">
        <f>B6*Pristalsregulering!$C$7*Pristalsregulering!$C$6</f>
        <v>760408.42046399997</v>
      </c>
      <c r="E6" s="35">
        <f>C6*Pristalsregulering!$C$7*Pristalsregulering!$C$6</f>
        <v>0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25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24000</v>
      </c>
      <c r="C3" s="42">
        <v>212500</v>
      </c>
      <c r="D3" s="42">
        <v>0</v>
      </c>
      <c r="E3" s="41">
        <f>B3</f>
        <v>24000</v>
      </c>
      <c r="F3" s="42">
        <f t="shared" ref="F3:G3" si="0">C3</f>
        <v>212500</v>
      </c>
      <c r="G3" s="43">
        <f t="shared" si="0"/>
        <v>0</v>
      </c>
      <c r="H3" s="44">
        <f>IF(E3=0,0,AVERAGEIF(E3:E5,"&lt;&gt;0"))+IF(F3=0,0,AVERAGEIF(F3:F5,"&lt;&gt;0"))+IF(G3=0,0,AVERAGEIF(G3:G5,"&lt;&gt;0"))</f>
        <v>195511.93493333331</v>
      </c>
    </row>
    <row r="4" spans="1:8" x14ac:dyDescent="0.25">
      <c r="A4" s="31">
        <v>2014</v>
      </c>
      <c r="B4" s="41">
        <v>20000</v>
      </c>
      <c r="C4" s="42">
        <v>156800</v>
      </c>
      <c r="D4" s="42">
        <v>0</v>
      </c>
      <c r="E4" s="41">
        <f>B4*Pristalsregulering!$C$7</f>
        <v>20016</v>
      </c>
      <c r="F4" s="42">
        <f>C4*Pristalsregulering!$C$7</f>
        <v>156925.43999999997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20000</v>
      </c>
      <c r="C5" s="42">
        <v>150400</v>
      </c>
      <c r="D5" s="42">
        <v>0</v>
      </c>
      <c r="E5" s="41">
        <f>B5*Pristalsregulering!$C$7*Pristalsregulering!$C$6</f>
        <v>20316.239999999998</v>
      </c>
      <c r="F5" s="42">
        <f>C5*Pristalsregulering!$C$7*Pristalsregulering!$C$6</f>
        <v>152778.12479999996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70">
        <v>2015</v>
      </c>
      <c r="B3" s="38">
        <v>92669081.653311431</v>
      </c>
      <c r="C3" s="38">
        <v>10093554.7277213</v>
      </c>
      <c r="D3" s="40">
        <v>2084175.1633333301</v>
      </c>
      <c r="E3" s="35">
        <f>B3*Pristalsregulering!C2*Pristalsregulering!C3*Pristalsregulering!C4*Pristalsregulering!C5*Pristalsregulering!C6*Pristalsregulering!C7</f>
        <v>100888733.29006423</v>
      </c>
      <c r="F3" s="35">
        <v>10425138.832688654</v>
      </c>
      <c r="G3" s="35">
        <f xml:space="preserve"> D3/Pristalsregulering!$C$8</f>
        <v>2092125.2392424515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41</v>
      </c>
      <c r="C1" s="74"/>
      <c r="D1" s="74"/>
      <c r="E1" s="74"/>
      <c r="F1" s="75" t="s">
        <v>55</v>
      </c>
      <c r="G1" s="76"/>
      <c r="H1" s="76"/>
      <c r="I1" s="76"/>
      <c r="J1" s="79" t="s">
        <v>30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70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1958463</v>
      </c>
      <c r="D3" s="38">
        <v>0</v>
      </c>
      <c r="E3" s="40">
        <v>0</v>
      </c>
      <c r="F3" s="38">
        <f>B3</f>
        <v>0</v>
      </c>
      <c r="G3" s="38">
        <f>C3</f>
        <v>1958463</v>
      </c>
      <c r="H3" s="38">
        <f>D3</f>
        <v>0</v>
      </c>
      <c r="I3" s="40">
        <f>E3</f>
        <v>0</v>
      </c>
      <c r="J3" s="42">
        <f>AVERAGE(F3:F5)</f>
        <v>59082.334751999988</v>
      </c>
      <c r="K3" s="42">
        <f>G3</f>
        <v>1958463</v>
      </c>
      <c r="L3" s="43">
        <f>AVERAGE(H3:H5)+AVERAGE(I3:I5)</f>
        <v>0</v>
      </c>
      <c r="M3" s="44">
        <f>SUM(J3:L3)</f>
        <v>2017545.3347519999</v>
      </c>
      <c r="N3" s="23"/>
    </row>
    <row r="4" spans="1:14" x14ac:dyDescent="0.25">
      <c r="A4" s="28">
        <v>2014</v>
      </c>
      <c r="B4" s="45">
        <v>0</v>
      </c>
      <c r="C4" s="38">
        <v>25064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25084.051199999998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174488</v>
      </c>
      <c r="C5" s="38">
        <v>82138</v>
      </c>
      <c r="D5" s="38">
        <v>0</v>
      </c>
      <c r="E5" s="40">
        <v>0</v>
      </c>
      <c r="F5" s="38">
        <f>IF(B5="","",B5*Pristalsregulering!$C$7*Pristalsregulering!$C$6)</f>
        <v>177247.00425599996</v>
      </c>
      <c r="G5" s="38">
        <f>IF(C5="","",C5*Pristalsregulering!$C$7*Pristalsregulering!$C$6)</f>
        <v>83436.766055999993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56</v>
      </c>
      <c r="L1" s="67" t="s">
        <v>40</v>
      </c>
      <c r="M1" s="14" t="s">
        <v>29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157389</v>
      </c>
      <c r="E2" s="42">
        <v>793914</v>
      </c>
      <c r="F2" s="42">
        <v>4701015</v>
      </c>
      <c r="G2" s="42">
        <v>0</v>
      </c>
      <c r="H2" s="42">
        <v>2838717</v>
      </c>
      <c r="I2" s="42">
        <v>0</v>
      </c>
      <c r="J2" s="42"/>
      <c r="K2" s="42"/>
      <c r="L2" s="43">
        <v>0</v>
      </c>
      <c r="M2" s="44">
        <f>SUM(B2:L2)</f>
        <v>8523558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2017-09-14T11:42:03Z</dcterms:modified>
</cp:coreProperties>
</file>