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G20" i="19" l="1"/>
  <c r="G21" i="19" s="1"/>
  <c r="F29" i="11" l="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E11" i="2"/>
  <c r="G12" i="7"/>
  <c r="E10" i="15" l="1"/>
  <c r="E9" i="2"/>
  <c r="E15" i="13"/>
  <c r="F11" i="11"/>
  <c r="F30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31" i="11" s="1"/>
  <c r="E24" i="2"/>
  <c r="G24" i="2" s="1"/>
  <c r="G35" i="12" l="1"/>
  <c r="E30" i="2" s="1"/>
  <c r="G33" i="12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<sst xmlns="http://schemas.openxmlformats.org/spreadsheetml/2006/main" count="379" uniqueCount="193">
  <si>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</si>
  <si>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</si>
  <si>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</si>
  <si>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</si>
  <si>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</si>
  <si>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</si>
  <si>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</si>
  <si>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</si>
  <si>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</si>
  <si>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</si>
  <si>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</si>
  <si>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</si>
  <si>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</si>
  <si>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</si>
  <si>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</si>
  <si>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</si>
  <si>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</si>
  <si>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</si>
  <si>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</si>
  <si>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</si>
  <si>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</si>
  <si>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</si>
  <si>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</si>
  <si>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</si>
  <si>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</si>
  <si>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</si>
  <si>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</si>
  <si>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</si>
  <si>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</si>
  <si>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</si>
  <si>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</si>
  <si>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</si>
  <si>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</si>
  <si>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</si>
  <si>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</si>
  <si>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</si>
  <si>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</si>
  <si>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</si>
  <si>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</si>
  <si>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</si>
  <si>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</si>
  <si>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</si>
  <si>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</si>
  <si>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</si>
  <si>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</si>
  <si>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</si>
  <si>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</si>
  <si>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</si>
  <si>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</si>
  <si>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</si>
  <si>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</si>
  <si>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</si>
  <si>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</si>
  <si>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</si>
  <si>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</si>
  <si>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</si>
  <si>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</si>
  <si>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</si>
  <si>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</si>
  <si>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</si>
  <si>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</si>
  <si>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</si>
  <si>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</si>
  <si>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</si>
  <si>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</si>
  <si>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</si>
  <si>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</si>
  <si>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</si>
  <si>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</si>
  <si>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</si>
  <si>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</si>
  <si>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</si>
  <si>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</si>
  <si>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</si>
  <si>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</si>
  <si>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</si>
  <si>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</si>
  <si>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</si>
  <si>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</si>
  <si>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</si>
  <si>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</si>
  <si>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</si>
  <si>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</si>
  <si>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</si>
  <si>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</si>
  <si>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</si>
  <si>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</si>
  <si>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</si>
  <si>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</si>
  <si>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</si>
  <si>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</si>
  <si>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</si>
  <si>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</si>
  <si>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</si>
  <si>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</si>
  <si>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</si>
  <si>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</si>
  <si>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</si>
  <si>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</si>
  <si>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</si>
  <si>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</si>
  <si>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</si>
  <si>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</si>
  <si>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</si>
  <si>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</si>
  <si>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</si>
  <si>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</si>
  <si>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</si>
  <si>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</si>
  <si>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</si>
  <si>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</si>
  <si>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</si>
  <si>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</si>
  <si>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</si>
  <si>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</si>
  <si>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</si>
  <si>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</si>
  <si>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</si>
  <si>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</si>
  <si>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</si>
  <si>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</si>
  <si>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</si>
  <si>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</si>
  <si>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</si>
  <si>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</si>
  <si>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</si>
  <si>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</si>
  <si>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</si>
  <si>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</si>
  <si>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</si>
  <si>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</si>
  <si>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</si>
  <si>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</si>
  <si>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</si>
  <si>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</si>
  <si>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</si>
  <si>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</si>
  <si>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</si>
  <si>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</si>
  <si>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</si>
  <si>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</si>
  <si>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</si>
  <si>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</si>
  <si>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</si>
  <si>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</si>
  <si>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</si>
  <si>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Strømpeforing Ø 200 mm &lt; Ledningsnet ≤ Ø 500 mm</t>
  </si>
  <si>
    <t>Brønde</t>
  </si>
  <si>
    <t>Ø 200 mm &lt; Ledningsnet ≤ Ø 500 mm</t>
  </si>
  <si>
    <t>Ø 500 mm &lt; Ledningsnet ≤ Ø 800 mm</t>
  </si>
  <si>
    <t>Ø 1200 mm &lt; Ledningsnet ≤ Ø 1600 mm</t>
  </si>
  <si>
    <t>Ledningsnet ≤ Ø 200 mm</t>
  </si>
  <si>
    <t>Stik</t>
  </si>
  <si>
    <t>Pumpestationer i brønde (&lt; 6,25 m2), Mek/EL</t>
  </si>
  <si>
    <t>Pumpestationer i brønde (&lt; 6,25 m2), SRO</t>
  </si>
  <si>
    <t>Strømpeforing ≤ Ø 200 mm</t>
  </si>
  <si>
    <t>Indløb med riste, Mek/EL</t>
  </si>
  <si>
    <t>Indløb med riste, Konstruktioner</t>
  </si>
  <si>
    <t>SRO på renseanlæg</t>
  </si>
  <si>
    <t>Udskiftning af brønddæksler</t>
  </si>
  <si>
    <t>Forafvanding, slam, Mek/EL</t>
  </si>
  <si>
    <t>Forafvanding, slam, SRO</t>
  </si>
  <si>
    <t>Beluftningstanke, Mek/EL</t>
  </si>
  <si>
    <t>Software - MOPS</t>
  </si>
  <si>
    <t>Sand- og fedtfang, Kontruktioner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</si>
  <si>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</si>
  <si>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</si>
  <si>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</si>
  <si>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</si>
  <si>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</si>
  <si>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</si>
  <si>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</si>
  <si>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</si>
  <si>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</si>
  <si>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Undersøgelsesudgifter i forbindelse med fusion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</si>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</sst>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9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8" fillId="10" borderId="3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182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86" t="s">
        <v>78</v>
      </c>
      <c r="C9" s="87"/>
      <c r="D9" s="87"/>
      <c r="E9" s="87"/>
      <c r="F9" s="88"/>
      <c r="G9" s="27">
        <v>5716502</v>
      </c>
      <c r="H9" s="23" t="s">
        <v>4</v>
      </c>
      <c r="I9" s="2"/>
    </row>
    <row r="10" spans="1:9" x14ac:dyDescent="0.25">
      <c r="A10" s="2"/>
      <c r="B10" s="86" t="s">
        <v>79</v>
      </c>
      <c r="C10" s="87"/>
      <c r="D10" s="87"/>
      <c r="E10" s="87"/>
      <c r="F10" s="88"/>
      <c r="G10" s="27">
        <v>5172500</v>
      </c>
      <c r="H10" s="23" t="s">
        <v>4</v>
      </c>
      <c r="I10" s="2"/>
    </row>
    <row r="11" spans="1:9" x14ac:dyDescent="0.25">
      <c r="A11" s="2"/>
      <c r="B11" s="96" t="s">
        <v>183</v>
      </c>
      <c r="C11" s="97"/>
      <c r="D11" s="97"/>
      <c r="E11" s="97"/>
      <c r="F11" s="98"/>
      <c r="G11" s="21">
        <f>G9-G10</f>
        <v>544002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184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86" t="s">
        <v>80</v>
      </c>
      <c r="C15" s="87"/>
      <c r="D15" s="87"/>
      <c r="E15" s="87"/>
      <c r="F15" s="88"/>
      <c r="G15" s="27">
        <v>1908657</v>
      </c>
      <c r="H15" s="23" t="s">
        <v>4</v>
      </c>
      <c r="I15" s="2"/>
    </row>
    <row r="16" spans="1:9" x14ac:dyDescent="0.25">
      <c r="A16" s="2"/>
      <c r="B16" s="86" t="s">
        <v>81</v>
      </c>
      <c r="C16" s="87"/>
      <c r="D16" s="87"/>
      <c r="E16" s="87"/>
      <c r="F16" s="88"/>
      <c r="G16" s="27">
        <v>2450000</v>
      </c>
      <c r="H16" s="23" t="s">
        <v>4</v>
      </c>
      <c r="I16" s="2"/>
    </row>
    <row r="17" spans="1:9" x14ac:dyDescent="0.25">
      <c r="A17" s="2"/>
      <c r="B17" s="96" t="s">
        <v>184</v>
      </c>
      <c r="C17" s="97"/>
      <c r="D17" s="97"/>
      <c r="E17" s="97"/>
      <c r="F17" s="98"/>
      <c r="G17" s="21">
        <f>G15-G16</f>
        <v>-541343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185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86" t="s">
        <v>82</v>
      </c>
      <c r="C21" s="87"/>
      <c r="D21" s="87"/>
      <c r="E21" s="87"/>
      <c r="F21" s="88"/>
      <c r="G21" s="27">
        <v>2064906</v>
      </c>
      <c r="H21" s="23" t="s">
        <v>4</v>
      </c>
      <c r="I21" s="2"/>
    </row>
    <row r="22" spans="1:9" x14ac:dyDescent="0.25">
      <c r="A22" s="2"/>
      <c r="B22" s="86" t="s">
        <v>83</v>
      </c>
      <c r="C22" s="87"/>
      <c r="D22" s="87"/>
      <c r="E22" s="87"/>
      <c r="F22" s="88"/>
      <c r="G22" s="27">
        <v>1508000</v>
      </c>
      <c r="H22" s="23" t="s">
        <v>4</v>
      </c>
      <c r="I22" s="2"/>
    </row>
    <row r="23" spans="1:9" x14ac:dyDescent="0.25">
      <c r="A23" s="2"/>
      <c r="B23" s="96" t="s">
        <v>185</v>
      </c>
      <c r="C23" s="97"/>
      <c r="D23" s="97"/>
      <c r="E23" s="97"/>
      <c r="F23" s="98"/>
      <c r="G23" s="21">
        <f>G21-G22</f>
        <v>556906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186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3" t="s">
        <v>84</v>
      </c>
      <c r="C27" s="84"/>
      <c r="D27" s="84"/>
      <c r="E27" s="84"/>
      <c r="F27" s="85"/>
      <c r="G27" s="27">
        <v>180333</v>
      </c>
      <c r="H27" s="23" t="s">
        <v>4</v>
      </c>
      <c r="I27" s="2"/>
    </row>
    <row r="28" spans="1:9" x14ac:dyDescent="0.25">
      <c r="A28" s="2"/>
      <c r="B28" s="86" t="s">
        <v>85</v>
      </c>
      <c r="C28" s="87"/>
      <c r="D28" s="87"/>
      <c r="E28" s="87"/>
      <c r="F28" s="88"/>
      <c r="G28" s="27">
        <v>194500</v>
      </c>
      <c r="H28" s="23" t="s">
        <v>4</v>
      </c>
      <c r="I28" s="2"/>
    </row>
    <row r="29" spans="1:9" ht="15" customHeight="1" x14ac:dyDescent="0.25">
      <c r="A29" s="2"/>
      <c r="B29" s="101" t="s">
        <v>186</v>
      </c>
      <c r="C29" s="102"/>
      <c r="D29" s="102"/>
      <c r="E29" s="102"/>
      <c r="F29" s="103"/>
      <c r="G29" s="21">
        <f>G27-G28</f>
        <v>-14167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86" t="s">
        <v>87</v>
      </c>
      <c r="C33" s="87"/>
      <c r="D33" s="87"/>
      <c r="E33" s="87"/>
      <c r="F33" s="88"/>
      <c r="G33" s="12">
        <f>'Fane 8. Gen. inv. i 2016'!F31</f>
        <v>525866.9768633541</v>
      </c>
      <c r="H33" s="23" t="s">
        <v>4</v>
      </c>
      <c r="I33" s="2"/>
    </row>
    <row r="34" spans="1:9" x14ac:dyDescent="0.25">
      <c r="A34" s="2"/>
      <c r="B34" s="86" t="s">
        <v>88</v>
      </c>
      <c r="C34" s="87"/>
      <c r="D34" s="87"/>
      <c r="E34" s="87"/>
      <c r="F34" s="88"/>
      <c r="G34" s="27">
        <v>882333.33333333337</v>
      </c>
      <c r="H34" s="23" t="s">
        <v>4</v>
      </c>
      <c r="I34" s="2"/>
    </row>
    <row r="35" spans="1:9" x14ac:dyDescent="0.25">
      <c r="A35" s="2"/>
      <c r="B35" s="96" t="s">
        <v>86</v>
      </c>
      <c r="C35" s="97"/>
      <c r="D35" s="97"/>
      <c r="E35" s="97"/>
      <c r="F35" s="98"/>
      <c r="G35" s="21">
        <f>G33-G34</f>
        <v>-356466.35646997928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="85" zoomScaleNormal="100" zoomScalePageLayoutView="85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90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93" t="s">
        <v>91</v>
      </c>
      <c r="C9" s="94"/>
      <c r="D9" s="94"/>
      <c r="E9" s="94"/>
      <c r="F9" s="95"/>
      <c r="G9" s="26">
        <v>70991115.239570752</v>
      </c>
      <c r="H9" s="38" t="s">
        <v>4</v>
      </c>
      <c r="I9" s="2"/>
    </row>
    <row r="10" spans="1:9" x14ac:dyDescent="0.25">
      <c r="A10" s="2"/>
      <c r="B10" s="96" t="s">
        <v>92</v>
      </c>
      <c r="C10" s="97"/>
      <c r="D10" s="97"/>
      <c r="E10" s="97"/>
      <c r="F10" s="97"/>
      <c r="G10" s="97"/>
      <c r="H10" s="98"/>
      <c r="I10" s="2"/>
    </row>
    <row r="11" spans="1:9" x14ac:dyDescent="0.25">
      <c r="A11" s="2"/>
      <c r="B11" s="86" t="s">
        <v>19</v>
      </c>
      <c r="C11" s="87"/>
      <c r="D11" s="88"/>
      <c r="E11" s="27">
        <v>28377857</v>
      </c>
      <c r="F11" s="23" t="s">
        <v>4</v>
      </c>
      <c r="G11" s="20"/>
      <c r="H11" s="42"/>
      <c r="I11" s="2"/>
    </row>
    <row r="12" spans="1:9" x14ac:dyDescent="0.25">
      <c r="A12" s="2"/>
      <c r="B12" s="86" t="s">
        <v>93</v>
      </c>
      <c r="C12" s="87"/>
      <c r="D12" s="88"/>
      <c r="E12" s="27">
        <v>6126830.608</v>
      </c>
      <c r="F12" s="23" t="s">
        <v>4</v>
      </c>
      <c r="G12" s="15"/>
      <c r="H12" s="43"/>
      <c r="I12" s="2"/>
    </row>
    <row r="13" spans="1:9" x14ac:dyDescent="0.25">
      <c r="A13" s="2"/>
      <c r="B13" s="86" t="s">
        <v>94</v>
      </c>
      <c r="C13" s="87"/>
      <c r="D13" s="88"/>
      <c r="E13" s="27">
        <v>1389532.6826666663</v>
      </c>
      <c r="F13" s="23" t="s">
        <v>4</v>
      </c>
      <c r="G13" s="15"/>
      <c r="H13" s="43"/>
      <c r="I13" s="2"/>
    </row>
    <row r="14" spans="1:9" x14ac:dyDescent="0.25">
      <c r="A14" s="2"/>
      <c r="B14" s="86" t="s">
        <v>95</v>
      </c>
      <c r="C14" s="87"/>
      <c r="D14" s="88"/>
      <c r="E14" s="27">
        <v>2467333</v>
      </c>
      <c r="F14" s="23" t="s">
        <v>4</v>
      </c>
      <c r="G14" s="15"/>
      <c r="H14" s="43"/>
      <c r="I14" s="2"/>
    </row>
    <row r="15" spans="1:9" x14ac:dyDescent="0.25">
      <c r="A15" s="2"/>
      <c r="B15" s="93" t="s">
        <v>20</v>
      </c>
      <c r="C15" s="94"/>
      <c r="D15" s="95"/>
      <c r="E15" s="18">
        <f>SUM(E11:E14)</f>
        <v>38361553.29066667</v>
      </c>
      <c r="F15" s="38" t="s">
        <v>4</v>
      </c>
      <c r="G15" s="15"/>
      <c r="H15" s="43"/>
      <c r="I15" s="2"/>
    </row>
    <row r="16" spans="1:9" x14ac:dyDescent="0.25">
      <c r="A16" s="2"/>
      <c r="B16" s="86" t="s">
        <v>21</v>
      </c>
      <c r="C16" s="87"/>
      <c r="D16" s="88"/>
      <c r="E16" s="27">
        <v>724694</v>
      </c>
      <c r="F16" s="23" t="s">
        <v>4</v>
      </c>
      <c r="G16" s="15"/>
      <c r="H16" s="43"/>
      <c r="I16" s="2"/>
    </row>
    <row r="17" spans="1:9" x14ac:dyDescent="0.25">
      <c r="A17" s="2"/>
      <c r="B17" s="86" t="s">
        <v>22</v>
      </c>
      <c r="C17" s="87"/>
      <c r="D17" s="88"/>
      <c r="E17" s="27">
        <v>5389537</v>
      </c>
      <c r="F17" s="23" t="s">
        <v>4</v>
      </c>
      <c r="G17" s="15"/>
      <c r="H17" s="43"/>
      <c r="I17" s="2"/>
    </row>
    <row r="18" spans="1:9" x14ac:dyDescent="0.25">
      <c r="A18" s="2"/>
      <c r="B18" s="86" t="s">
        <v>23</v>
      </c>
      <c r="C18" s="87"/>
      <c r="D18" s="88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3" t="s">
        <v>24</v>
      </c>
      <c r="C19" s="94"/>
      <c r="D19" s="95"/>
      <c r="E19" s="18">
        <f>SUM(E16:E18)</f>
        <v>6114231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3" t="s">
        <v>25</v>
      </c>
      <c r="C20" s="84"/>
      <c r="D20" s="85"/>
      <c r="E20" s="27">
        <v>-2276738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3" t="s">
        <v>26</v>
      </c>
      <c r="C21" s="84"/>
      <c r="D21" s="85"/>
      <c r="E21" s="27">
        <v>0</v>
      </c>
      <c r="F21" s="23" t="s">
        <v>4</v>
      </c>
      <c r="G21" s="15"/>
      <c r="H21" s="43"/>
      <c r="I21" s="2"/>
    </row>
    <row r="22" spans="1:9" x14ac:dyDescent="0.25">
      <c r="A22" s="2"/>
      <c r="B22" s="86" t="s">
        <v>27</v>
      </c>
      <c r="C22" s="87"/>
      <c r="D22" s="88"/>
      <c r="E22" s="27">
        <v>-35704736</v>
      </c>
      <c r="F22" s="23" t="s">
        <v>4</v>
      </c>
      <c r="G22" s="15"/>
      <c r="H22" s="43"/>
      <c r="I22" s="2"/>
    </row>
    <row r="23" spans="1:9" x14ac:dyDescent="0.25">
      <c r="A23" s="2"/>
      <c r="B23" s="86" t="s">
        <v>28</v>
      </c>
      <c r="C23" s="87"/>
      <c r="D23" s="88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3" t="s">
        <v>29</v>
      </c>
      <c r="C24" s="84"/>
      <c r="D24" s="85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3" t="s">
        <v>30</v>
      </c>
      <c r="C25" s="84"/>
      <c r="D25" s="85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3" t="s">
        <v>31</v>
      </c>
      <c r="C26" s="84"/>
      <c r="D26" s="85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3" t="s">
        <v>32</v>
      </c>
      <c r="C27" s="94"/>
      <c r="D27" s="95"/>
      <c r="E27" s="18">
        <f>SUM(E20:E26)</f>
        <v>-37981474</v>
      </c>
      <c r="F27" s="38" t="s">
        <v>4</v>
      </c>
      <c r="G27" s="16"/>
      <c r="H27" s="44"/>
      <c r="I27" s="2"/>
    </row>
    <row r="28" spans="1:9" x14ac:dyDescent="0.25">
      <c r="A28" s="2"/>
      <c r="B28" s="93" t="s">
        <v>33</v>
      </c>
      <c r="C28" s="94"/>
      <c r="D28" s="95"/>
      <c r="E28" s="18">
        <f>E15+E19+E27</f>
        <v>6494310.2906666696</v>
      </c>
      <c r="F28" s="38" t="s">
        <v>4</v>
      </c>
      <c r="G28" s="1">
        <f>IF(E28&lt;0,0,-E28)</f>
        <v>-6494310.2906666696</v>
      </c>
      <c r="H28" s="38" t="s">
        <v>4</v>
      </c>
      <c r="I28" s="2"/>
    </row>
    <row r="29" spans="1:9" x14ac:dyDescent="0.25">
      <c r="A29" s="2"/>
      <c r="B29" s="96" t="s">
        <v>96</v>
      </c>
      <c r="C29" s="97"/>
      <c r="D29" s="97"/>
      <c r="E29" s="97"/>
      <c r="F29" s="97"/>
      <c r="G29" s="97"/>
      <c r="H29" s="98"/>
      <c r="I29" s="2"/>
    </row>
    <row r="30" spans="1:9" x14ac:dyDescent="0.25">
      <c r="A30" s="2"/>
      <c r="B30" s="93" t="s">
        <v>96</v>
      </c>
      <c r="C30" s="94"/>
      <c r="D30" s="95"/>
      <c r="E30" s="26">
        <v>1</v>
      </c>
      <c r="F30" s="38" t="s">
        <v>4</v>
      </c>
      <c r="G30" s="18">
        <f>-$E$30</f>
        <v>-1</v>
      </c>
      <c r="H30" s="38" t="s">
        <v>4</v>
      </c>
      <c r="I30" s="2"/>
    </row>
    <row r="31" spans="1:9" x14ac:dyDescent="0.25">
      <c r="A31" s="2"/>
      <c r="B31" s="116" t="s">
        <v>57</v>
      </c>
      <c r="C31" s="97"/>
      <c r="D31" s="97"/>
      <c r="E31" s="97"/>
      <c r="F31" s="97"/>
      <c r="G31" s="97"/>
      <c r="H31" s="98"/>
      <c r="I31" s="2"/>
    </row>
    <row r="32" spans="1:9" ht="30" customHeight="1" x14ac:dyDescent="0.25">
      <c r="A32" s="2"/>
      <c r="B32" s="83" t="s">
        <v>58</v>
      </c>
      <c r="C32" s="84"/>
      <c r="D32" s="85"/>
      <c r="E32" s="27">
        <v>55612266</v>
      </c>
      <c r="F32" s="23" t="s">
        <v>4</v>
      </c>
      <c r="G32" s="20"/>
      <c r="H32" s="42"/>
      <c r="I32" s="2"/>
    </row>
    <row r="33" spans="1:9" x14ac:dyDescent="0.25">
      <c r="A33" s="2"/>
      <c r="B33" s="86" t="s">
        <v>34</v>
      </c>
      <c r="C33" s="87"/>
      <c r="D33" s="88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3" t="s">
        <v>35</v>
      </c>
      <c r="C34" s="84"/>
      <c r="D34" s="85"/>
      <c r="E34" s="27">
        <v>2440616</v>
      </c>
      <c r="F34" s="23" t="s">
        <v>4</v>
      </c>
      <c r="G34" s="16"/>
      <c r="H34" s="44"/>
      <c r="I34" s="2"/>
    </row>
    <row r="35" spans="1:9" x14ac:dyDescent="0.25">
      <c r="A35" s="2"/>
      <c r="B35" s="93" t="s">
        <v>36</v>
      </c>
      <c r="C35" s="94"/>
      <c r="D35" s="95"/>
      <c r="E35" s="18">
        <f>SUM(E32:E34)</f>
        <v>58052882</v>
      </c>
      <c r="F35" s="38" t="s">
        <v>4</v>
      </c>
      <c r="G35" s="18">
        <f>-E35</f>
        <v>-58052882</v>
      </c>
      <c r="H35" s="38" t="s">
        <v>4</v>
      </c>
      <c r="I35" s="2"/>
    </row>
    <row r="36" spans="1:9" x14ac:dyDescent="0.25">
      <c r="A36" s="2"/>
      <c r="B36" s="96" t="s">
        <v>97</v>
      </c>
      <c r="C36" s="97"/>
      <c r="D36" s="97"/>
      <c r="E36" s="97"/>
      <c r="F36" s="98"/>
      <c r="G36" s="21">
        <f>$G$9+$G$28+$G$30+$G$35</f>
        <v>6443921.9489040822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126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179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89" t="s">
        <v>116</v>
      </c>
      <c r="C9" s="91"/>
      <c r="D9" s="115" t="s">
        <v>47</v>
      </c>
      <c r="E9" s="115"/>
      <c r="F9" s="115" t="s">
        <v>127</v>
      </c>
      <c r="G9" s="115"/>
      <c r="H9" s="2"/>
    </row>
    <row r="10" spans="1:8" x14ac:dyDescent="0.25">
      <c r="A10" s="2"/>
      <c r="B10" s="117" t="s">
        <v>180</v>
      </c>
      <c r="C10" s="118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133</v>
      </c>
      <c r="C11" s="97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6" t="s">
        <v>145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6" t="s">
        <v>175</v>
      </c>
      <c r="C15" s="97"/>
      <c r="D15" s="97"/>
      <c r="E15" s="97"/>
      <c r="F15" s="97"/>
      <c r="G15" s="98"/>
      <c r="H15" s="2"/>
    </row>
    <row r="16" spans="1:8" ht="15" customHeight="1" x14ac:dyDescent="0.25">
      <c r="A16" s="2"/>
      <c r="B16" s="89" t="s">
        <v>192</v>
      </c>
      <c r="C16" s="90"/>
      <c r="D16" s="90"/>
      <c r="E16" s="91"/>
      <c r="F16" s="115" t="s">
        <v>176</v>
      </c>
      <c r="G16" s="115"/>
      <c r="H16" s="2"/>
    </row>
    <row r="17" spans="1:8" x14ac:dyDescent="0.25">
      <c r="A17" s="2"/>
      <c r="B17" s="86" t="s">
        <v>188</v>
      </c>
      <c r="C17" s="87"/>
      <c r="D17" s="87"/>
      <c r="E17" s="88"/>
      <c r="F17" s="27">
        <v>0</v>
      </c>
      <c r="G17" s="23" t="s">
        <v>4</v>
      </c>
      <c r="H17" s="2"/>
    </row>
    <row r="18" spans="1:8" x14ac:dyDescent="0.25">
      <c r="A18" s="2"/>
      <c r="B18" s="96" t="s">
        <v>177</v>
      </c>
      <c r="C18" s="97"/>
      <c r="D18" s="97"/>
      <c r="E18" s="98"/>
      <c r="F18" s="21">
        <f>SUM(F17:F17)</f>
        <v>0</v>
      </c>
      <c r="G18" s="22" t="s">
        <v>4</v>
      </c>
      <c r="H18" s="2"/>
    </row>
    <row r="19" spans="1:8" x14ac:dyDescent="0.25">
      <c r="A19" s="2"/>
      <c r="B19" s="96" t="s">
        <v>178</v>
      </c>
      <c r="C19" s="97"/>
      <c r="D19" s="97"/>
      <c r="E19" s="98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117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45" t="s">
        <v>119</v>
      </c>
      <c r="C9" s="46"/>
      <c r="D9" s="115" t="s">
        <v>47</v>
      </c>
      <c r="E9" s="115"/>
      <c r="F9" s="115" t="s">
        <v>127</v>
      </c>
      <c r="G9" s="115"/>
      <c r="H9" s="2"/>
    </row>
    <row r="10" spans="1:8" x14ac:dyDescent="0.25">
      <c r="A10" s="2"/>
      <c r="B10" s="35" t="s">
        <v>187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128</v>
      </c>
      <c r="C11" s="98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6" t="s">
        <v>144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109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ht="15" customHeight="1" x14ac:dyDescent="0.25">
      <c r="A9" s="2"/>
      <c r="B9" s="83" t="s">
        <v>60</v>
      </c>
      <c r="C9" s="84"/>
      <c r="D9" s="85"/>
      <c r="E9" s="8">
        <f>'Fane 3. Korrigeret grundlag'!G12</f>
        <v>68134566.430250093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87"/>
      <c r="D10" s="88"/>
      <c r="E10" s="12">
        <f>'Fane 3. Korrigeret grundlag'!G11</f>
        <v>4908806.9866194446</v>
      </c>
      <c r="F10" s="9" t="s">
        <v>4</v>
      </c>
      <c r="G10" s="13"/>
      <c r="H10" s="14"/>
      <c r="I10" s="2"/>
    </row>
    <row r="11" spans="1:9" x14ac:dyDescent="0.25">
      <c r="A11" s="2"/>
      <c r="B11" s="92" t="s">
        <v>121</v>
      </c>
      <c r="C11" s="87"/>
      <c r="D11" s="88"/>
      <c r="E11" s="12">
        <f>'Fane 4. Ikke-påvirkelige omk.'!G21</f>
        <v>1873206.7749395003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190</v>
      </c>
      <c r="C12" s="49"/>
      <c r="D12" s="50"/>
      <c r="E12" s="12">
        <f>'Fane 5. Individuelt eff.krav'!G10</f>
        <v>-1230580.5107894391</v>
      </c>
      <c r="F12" s="9" t="s">
        <v>4</v>
      </c>
      <c r="G12" s="13"/>
      <c r="H12" s="14"/>
      <c r="I12" s="2"/>
    </row>
    <row r="13" spans="1:9" x14ac:dyDescent="0.25">
      <c r="A13" s="2"/>
      <c r="B13" s="83" t="s">
        <v>129</v>
      </c>
      <c r="C13" s="84"/>
      <c r="D13" s="85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3" t="s">
        <v>130</v>
      </c>
      <c r="C14" s="84"/>
      <c r="D14" s="85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3" t="s">
        <v>175</v>
      </c>
      <c r="C15" s="84"/>
      <c r="D15" s="85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3" t="s">
        <v>131</v>
      </c>
      <c r="C16" s="84"/>
      <c r="D16" s="85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3" t="s">
        <v>132</v>
      </c>
      <c r="C17" s="84"/>
      <c r="D17" s="85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92" t="s">
        <v>123</v>
      </c>
      <c r="C19" s="87"/>
      <c r="D19" s="88"/>
      <c r="E19" s="12">
        <f>SUM(E9,E11:E17)*(E18/100)</f>
        <v>1203600.872152003</v>
      </c>
      <c r="F19" s="9" t="s">
        <v>4</v>
      </c>
      <c r="G19" s="13"/>
      <c r="H19" s="14"/>
      <c r="I19" s="2"/>
    </row>
    <row r="20" spans="1:9" x14ac:dyDescent="0.25">
      <c r="A20" s="2"/>
      <c r="B20" s="86" t="s">
        <v>15</v>
      </c>
      <c r="C20" s="87"/>
      <c r="D20" s="88"/>
      <c r="E20" s="12">
        <f>'Fane 5. Individuelt eff.krav'!G12</f>
        <v>1261601.8912833186</v>
      </c>
      <c r="F20" s="9" t="s">
        <v>4</v>
      </c>
      <c r="G20" s="15"/>
      <c r="H20" s="14"/>
      <c r="I20" s="2"/>
    </row>
    <row r="21" spans="1:9" x14ac:dyDescent="0.25">
      <c r="A21" s="2"/>
      <c r="B21" s="86" t="s">
        <v>16</v>
      </c>
      <c r="C21" s="87"/>
      <c r="D21" s="88"/>
      <c r="E21" s="12">
        <f>'Fane 6. Generelt eff.krav'!G17</f>
        <v>1172882.5134819632</v>
      </c>
      <c r="F21" s="9" t="s">
        <v>4</v>
      </c>
      <c r="G21" s="16"/>
      <c r="H21" s="17"/>
      <c r="I21" s="2"/>
    </row>
    <row r="22" spans="1:9" x14ac:dyDescent="0.25">
      <c r="A22" s="2"/>
      <c r="B22" s="93" t="s">
        <v>181</v>
      </c>
      <c r="C22" s="94"/>
      <c r="D22" s="95"/>
      <c r="E22" s="18">
        <f>SUM(E9,E11:E17,E19)-SUM(E20:E21)</f>
        <v>67546309.161786884</v>
      </c>
      <c r="F22" s="19" t="s">
        <v>4</v>
      </c>
      <c r="G22" s="18">
        <f>E22</f>
        <v>67546309.161786884</v>
      </c>
      <c r="H22" s="19" t="s">
        <v>4</v>
      </c>
      <c r="I22" s="2"/>
    </row>
    <row r="23" spans="1:9" x14ac:dyDescent="0.25">
      <c r="A23" s="2"/>
      <c r="B23" s="96" t="s">
        <v>17</v>
      </c>
      <c r="C23" s="97"/>
      <c r="D23" s="97"/>
      <c r="E23" s="97"/>
      <c r="F23" s="97"/>
      <c r="G23" s="97"/>
      <c r="H23" s="98"/>
      <c r="I23" s="2"/>
    </row>
    <row r="24" spans="1:9" x14ac:dyDescent="0.25">
      <c r="A24" s="2"/>
      <c r="B24" s="89" t="s">
        <v>55</v>
      </c>
      <c r="C24" s="90"/>
      <c r="D24" s="91"/>
      <c r="E24" s="18">
        <f>'Fane 7. Hist. over el. underdæk'!G13</f>
        <v>755644.20723104046</v>
      </c>
      <c r="F24" s="19" t="s">
        <v>4</v>
      </c>
      <c r="G24" s="18">
        <f>E24</f>
        <v>755644.20723104046</v>
      </c>
      <c r="H24" s="19" t="s">
        <v>4</v>
      </c>
      <c r="I24" s="2"/>
    </row>
    <row r="25" spans="1:9" x14ac:dyDescent="0.25">
      <c r="A25" s="2"/>
      <c r="B25" s="96" t="s">
        <v>98</v>
      </c>
      <c r="C25" s="97"/>
      <c r="D25" s="97"/>
      <c r="E25" s="97"/>
      <c r="F25" s="97"/>
      <c r="G25" s="97"/>
      <c r="H25" s="98"/>
      <c r="I25" s="2"/>
    </row>
    <row r="26" spans="1:9" x14ac:dyDescent="0.25">
      <c r="A26" s="2"/>
      <c r="B26" s="83" t="s">
        <v>105</v>
      </c>
      <c r="C26" s="84"/>
      <c r="D26" s="85"/>
      <c r="E26" s="12">
        <f>'Fane 9. Korrektion af PL2016'!G11</f>
        <v>544002</v>
      </c>
      <c r="F26" s="9" t="s">
        <v>4</v>
      </c>
      <c r="G26" s="20"/>
      <c r="H26" s="11"/>
      <c r="I26" s="2"/>
    </row>
    <row r="27" spans="1:9" x14ac:dyDescent="0.25">
      <c r="A27" s="2"/>
      <c r="B27" s="83" t="s">
        <v>99</v>
      </c>
      <c r="C27" s="84"/>
      <c r="D27" s="85"/>
      <c r="E27" s="12">
        <f>'Fane 9. Korrektion af PL2016'!G17</f>
        <v>-541343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3" t="s">
        <v>100</v>
      </c>
      <c r="C28" s="84"/>
      <c r="D28" s="85"/>
      <c r="E28" s="12">
        <f>'Fane 9. Korrektion af PL2016'!G23</f>
        <v>556906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3" t="s">
        <v>101</v>
      </c>
      <c r="C29" s="84"/>
      <c r="D29" s="85"/>
      <c r="E29" s="12">
        <f>'Fane 9. Korrektion af PL2016'!G29</f>
        <v>-14167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3" t="s">
        <v>102</v>
      </c>
      <c r="C30" s="84"/>
      <c r="D30" s="85"/>
      <c r="E30" s="12">
        <f>'Fane 9. Korrektion af PL2016'!G35</f>
        <v>-356466.35646997928</v>
      </c>
      <c r="F30" s="9" t="s">
        <v>4</v>
      </c>
      <c r="G30" s="15"/>
      <c r="H30" s="14"/>
      <c r="I30" s="2"/>
    </row>
    <row r="31" spans="1:9" x14ac:dyDescent="0.25">
      <c r="A31" s="2"/>
      <c r="B31" s="89" t="s">
        <v>103</v>
      </c>
      <c r="C31" s="90"/>
      <c r="D31" s="91"/>
      <c r="E31" s="18">
        <f>SUM(E26:E30)</f>
        <v>188931.64353002072</v>
      </c>
      <c r="F31" s="19" t="s">
        <v>4</v>
      </c>
      <c r="G31" s="18">
        <f>E31</f>
        <v>188931.64353002072</v>
      </c>
      <c r="H31" s="19" t="s">
        <v>4</v>
      </c>
      <c r="I31" s="2"/>
    </row>
    <row r="32" spans="1:9" x14ac:dyDescent="0.25">
      <c r="A32" s="2"/>
      <c r="B32" s="96" t="s">
        <v>18</v>
      </c>
      <c r="C32" s="97"/>
      <c r="D32" s="97"/>
      <c r="E32" s="97"/>
      <c r="F32" s="97"/>
      <c r="G32" s="97"/>
      <c r="H32" s="98"/>
      <c r="I32" s="2"/>
    </row>
    <row r="33" spans="1:9" x14ac:dyDescent="0.25">
      <c r="A33" s="2"/>
      <c r="B33" s="89" t="s">
        <v>104</v>
      </c>
      <c r="C33" s="90"/>
      <c r="D33" s="91"/>
      <c r="E33" s="18">
        <f>'Fane 10. Kontrol af PL2016'!G36</f>
        <v>6443921.9489040822</v>
      </c>
      <c r="F33" s="19" t="s">
        <v>4</v>
      </c>
      <c r="G33" s="18">
        <f>E33</f>
        <v>6443921.9489040822</v>
      </c>
      <c r="H33" s="19" t="s">
        <v>4</v>
      </c>
      <c r="I33" s="2"/>
    </row>
    <row r="34" spans="1:9" x14ac:dyDescent="0.25">
      <c r="A34" s="2"/>
      <c r="B34" s="96" t="s">
        <v>62</v>
      </c>
      <c r="C34" s="97"/>
      <c r="D34" s="97"/>
      <c r="E34" s="97"/>
      <c r="F34" s="98"/>
      <c r="G34" s="21">
        <f>G22+G24+G31+G33</f>
        <v>74934806.961452037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3" t="s">
        <v>106</v>
      </c>
      <c r="C9" s="84"/>
      <c r="D9" s="85"/>
      <c r="E9" s="8">
        <f>'Fane 2.1. Økonomisk ramme 2018'!G22</f>
        <v>67546309.161786884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99"/>
      <c r="D10" s="100"/>
      <c r="E10" s="12">
        <f>(SUM('Fane 2.1. Økonomisk ramme 2018'!E10:E11,'Fane 2.1. Økonomisk ramme 2018'!E15))*(1+'Fane 2.1. Økonomisk ramme 2018'!E18/100)</f>
        <v>6900699.0023862263</v>
      </c>
      <c r="F10" s="9" t="s">
        <v>4</v>
      </c>
      <c r="G10" s="13"/>
      <c r="H10" s="14"/>
      <c r="I10" s="2"/>
    </row>
    <row r="11" spans="1:9" x14ac:dyDescent="0.25">
      <c r="A11" s="2"/>
      <c r="B11" s="86" t="s">
        <v>61</v>
      </c>
      <c r="C11" s="87"/>
      <c r="D11" s="88"/>
      <c r="E11" s="12">
        <f>$E$9*'Fane 2.1. Økonomisk ramme 2018'!E18/100</f>
        <v>1182060.4103312704</v>
      </c>
      <c r="F11" s="9" t="s">
        <v>4</v>
      </c>
      <c r="G11" s="15"/>
      <c r="H11" s="14"/>
      <c r="I11" s="2"/>
    </row>
    <row r="12" spans="1:9" x14ac:dyDescent="0.25">
      <c r="A12" s="2"/>
      <c r="B12" s="86" t="s">
        <v>15</v>
      </c>
      <c r="C12" s="87"/>
      <c r="D12" s="88"/>
      <c r="E12" s="12">
        <f>($E$9-$E$10)*(1+'Fane 2.1. Økonomisk ramme 2018'!E18/100)*'Fane 5. Individuelt eff.krav'!$G$11/100</f>
        <v>1234138.1667438035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1171296.1748652966</v>
      </c>
      <c r="F13" s="9" t="s">
        <v>4</v>
      </c>
      <c r="G13" s="16"/>
      <c r="H13" s="17"/>
      <c r="I13" s="2"/>
    </row>
    <row r="14" spans="1:9" x14ac:dyDescent="0.25">
      <c r="A14" s="2"/>
      <c r="B14" s="93" t="s">
        <v>181</v>
      </c>
      <c r="C14" s="94"/>
      <c r="D14" s="95"/>
      <c r="E14" s="18">
        <f>$E$9+$E$11-$E$12-$E$13</f>
        <v>66322935.23050905</v>
      </c>
      <c r="F14" s="19" t="s">
        <v>4</v>
      </c>
      <c r="G14" s="18">
        <f>E14</f>
        <v>66322935.23050905</v>
      </c>
      <c r="H14" s="19" t="s">
        <v>4</v>
      </c>
      <c r="I14" s="2"/>
    </row>
    <row r="15" spans="1:9" x14ac:dyDescent="0.25">
      <c r="A15" s="2"/>
      <c r="B15" s="96" t="s">
        <v>17</v>
      </c>
      <c r="C15" s="97"/>
      <c r="D15" s="97"/>
      <c r="E15" s="97"/>
      <c r="F15" s="97"/>
      <c r="G15" s="97"/>
      <c r="H15" s="98"/>
      <c r="I15" s="2"/>
    </row>
    <row r="16" spans="1:9" ht="15" customHeight="1" x14ac:dyDescent="0.25">
      <c r="A16" s="2"/>
      <c r="B16" s="89" t="s">
        <v>55</v>
      </c>
      <c r="C16" s="90"/>
      <c r="D16" s="91"/>
      <c r="E16" s="18">
        <f>IF('Fane 7. Hist. over el. underdæk'!$G$12&gt;1,'Fane 7. Hist. over el. underdæk'!$G$13,0)</f>
        <v>755644.20723104046</v>
      </c>
      <c r="F16" s="19" t="s">
        <v>4</v>
      </c>
      <c r="G16" s="18">
        <f>E16</f>
        <v>755644.20723104046</v>
      </c>
      <c r="H16" s="19" t="s">
        <v>4</v>
      </c>
      <c r="I16" s="2"/>
    </row>
    <row r="17" spans="1:9" x14ac:dyDescent="0.25">
      <c r="A17" s="2"/>
      <c r="B17" s="96" t="s">
        <v>107</v>
      </c>
      <c r="C17" s="97"/>
      <c r="D17" s="97"/>
      <c r="E17" s="97"/>
      <c r="F17" s="98"/>
      <c r="G17" s="21">
        <f>G14+G16</f>
        <v>67078579.437740088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141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110</v>
      </c>
      <c r="C9" s="87"/>
      <c r="D9" s="87"/>
      <c r="E9" s="87"/>
      <c r="F9" s="88"/>
      <c r="G9" s="27">
        <v>21167453.593555637</v>
      </c>
      <c r="H9" s="23" t="s">
        <v>4</v>
      </c>
      <c r="I9" s="2"/>
    </row>
    <row r="10" spans="1:9" x14ac:dyDescent="0.25">
      <c r="A10" s="2"/>
      <c r="B10" s="86" t="s">
        <v>111</v>
      </c>
      <c r="C10" s="87"/>
      <c r="D10" s="87"/>
      <c r="E10" s="87"/>
      <c r="F10" s="88"/>
      <c r="G10" s="27">
        <v>42058305.850075006</v>
      </c>
      <c r="H10" s="23" t="s">
        <v>4</v>
      </c>
      <c r="I10" s="2"/>
    </row>
    <row r="11" spans="1:9" x14ac:dyDescent="0.25">
      <c r="A11" s="2"/>
      <c r="B11" s="86" t="s">
        <v>138</v>
      </c>
      <c r="C11" s="87"/>
      <c r="D11" s="87"/>
      <c r="E11" s="87"/>
      <c r="F11" s="88"/>
      <c r="G11" s="27">
        <v>4908806.9866194446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68134566.430250093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113</v>
      </c>
      <c r="C8" s="97"/>
      <c r="D8" s="97"/>
      <c r="E8" s="97"/>
      <c r="F8" s="97"/>
      <c r="G8" s="97"/>
      <c r="H8" s="98"/>
      <c r="I8" s="2"/>
    </row>
    <row r="9" spans="1:9" ht="51.75" customHeight="1" x14ac:dyDescent="0.25">
      <c r="A9" s="2"/>
      <c r="B9" s="89" t="s">
        <v>115</v>
      </c>
      <c r="C9" s="90"/>
      <c r="D9" s="91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165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166</v>
      </c>
      <c r="C11" s="106"/>
      <c r="D11" s="106"/>
      <c r="E11" s="56">
        <v>224227.68460000001</v>
      </c>
      <c r="F11" s="23" t="s">
        <v>4</v>
      </c>
      <c r="G11" s="27">
        <v>244376</v>
      </c>
      <c r="H11" s="23" t="s">
        <v>4</v>
      </c>
      <c r="I11" s="2"/>
    </row>
    <row r="12" spans="1:9" x14ac:dyDescent="0.25">
      <c r="A12" s="2"/>
      <c r="B12" s="105" t="s">
        <v>167</v>
      </c>
      <c r="C12" s="106"/>
      <c r="D12" s="106"/>
      <c r="E12" s="56">
        <v>0</v>
      </c>
      <c r="F12" s="23" t="s">
        <v>4</v>
      </c>
      <c r="G12" s="27">
        <v>1238820</v>
      </c>
      <c r="H12" s="23" t="s">
        <v>4</v>
      </c>
      <c r="I12" s="2"/>
    </row>
    <row r="13" spans="1:9" x14ac:dyDescent="0.25">
      <c r="A13" s="2"/>
      <c r="B13" s="105" t="s">
        <v>168</v>
      </c>
      <c r="C13" s="106"/>
      <c r="D13" s="106"/>
      <c r="E13" s="56">
        <v>32399.4126</v>
      </c>
      <c r="F13" s="23" t="s">
        <v>4</v>
      </c>
      <c r="G13" s="27">
        <v>49129</v>
      </c>
      <c r="H13" s="23" t="s">
        <v>4</v>
      </c>
      <c r="I13" s="2"/>
    </row>
    <row r="14" spans="1:9" x14ac:dyDescent="0.25">
      <c r="A14" s="2"/>
      <c r="B14" s="105" t="s">
        <v>169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170</v>
      </c>
      <c r="C15" s="106"/>
      <c r="D15" s="106"/>
      <c r="E15" s="56">
        <v>700247.90779999993</v>
      </c>
      <c r="F15" s="23" t="s">
        <v>4</v>
      </c>
      <c r="G15" s="27">
        <v>460864</v>
      </c>
      <c r="H15" s="23" t="s">
        <v>4</v>
      </c>
      <c r="I15" s="2"/>
    </row>
    <row r="16" spans="1:9" x14ac:dyDescent="0.25">
      <c r="A16" s="2"/>
      <c r="B16" s="105" t="s">
        <v>171</v>
      </c>
      <c r="C16" s="106"/>
      <c r="D16" s="106"/>
      <c r="E16" s="56">
        <v>3684782.4155999999</v>
      </c>
      <c r="F16" s="23" t="s">
        <v>4</v>
      </c>
      <c r="G16" s="27">
        <v>3609413</v>
      </c>
      <c r="H16" s="23" t="s">
        <v>4</v>
      </c>
      <c r="I16" s="2"/>
    </row>
    <row r="17" spans="1:9" x14ac:dyDescent="0.25">
      <c r="A17" s="2"/>
      <c r="B17" s="105" t="s">
        <v>172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ht="27" customHeight="1" x14ac:dyDescent="0.25">
      <c r="A18" s="2"/>
      <c r="B18" s="107" t="s">
        <v>173</v>
      </c>
      <c r="C18" s="107"/>
      <c r="D18" s="107"/>
      <c r="E18" s="56">
        <v>205590</v>
      </c>
      <c r="F18" s="23" t="s">
        <v>4</v>
      </c>
      <c r="G18" s="27">
        <v>180333</v>
      </c>
      <c r="H18" s="23" t="s">
        <v>4</v>
      </c>
      <c r="I18" s="2"/>
    </row>
    <row r="19" spans="1:9" ht="18.75" customHeight="1" x14ac:dyDescent="0.25">
      <c r="A19" s="2"/>
      <c r="B19" s="105" t="s">
        <v>174</v>
      </c>
      <c r="C19" s="106"/>
      <c r="D19" s="108"/>
      <c r="E19" s="56">
        <v>0</v>
      </c>
      <c r="F19" s="23" t="s">
        <v>4</v>
      </c>
      <c r="G19" s="27">
        <v>905301.88</v>
      </c>
      <c r="H19" s="23" t="s">
        <v>4</v>
      </c>
      <c r="I19" s="2"/>
    </row>
    <row r="20" spans="1:9" x14ac:dyDescent="0.25">
      <c r="A20" s="2"/>
      <c r="B20" s="96" t="s">
        <v>134</v>
      </c>
      <c r="C20" s="97"/>
      <c r="D20" s="97"/>
      <c r="E20" s="97"/>
      <c r="F20" s="98"/>
      <c r="G20" s="21">
        <f>SUM(G10:G19)-SUM(E10:E19)</f>
        <v>1840989.4594000001</v>
      </c>
      <c r="H20" s="22" t="s">
        <v>4</v>
      </c>
      <c r="I20" s="2"/>
    </row>
    <row r="21" spans="1:9" x14ac:dyDescent="0.25">
      <c r="A21" s="2"/>
      <c r="B21" s="96" t="s">
        <v>135</v>
      </c>
      <c r="C21" s="97"/>
      <c r="D21" s="97"/>
      <c r="E21" s="97"/>
      <c r="F21" s="98"/>
      <c r="G21" s="21">
        <f>G20*(1+'Fane 2.1. Økonomisk ramme 2018'!E18/100)</f>
        <v>1873206.7749395003</v>
      </c>
      <c r="H21" s="22" t="s">
        <v>4</v>
      </c>
      <c r="I21" s="2"/>
    </row>
    <row r="22" spans="1:9" x14ac:dyDescent="0.25">
      <c r="A22" s="2"/>
      <c r="B22" s="25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4"/>
      <c r="C23" s="24"/>
      <c r="D23" s="24"/>
      <c r="E23" s="24"/>
      <c r="F23" s="24"/>
      <c r="G23" s="24"/>
      <c r="H23" s="24"/>
      <c r="I23" s="2"/>
    </row>
    <row r="24" spans="1:9" x14ac:dyDescent="0.25">
      <c r="A24" s="2"/>
      <c r="B24" s="2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</sheetData>
  <sheetProtection password="DFE9" sheet="1" objects="1" scenarios="1"/>
  <mergeCells count="15">
    <mergeCell ref="B21:F21"/>
    <mergeCell ref="B3:H4"/>
    <mergeCell ref="B8:H8"/>
    <mergeCell ref="B20:F20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  <mergeCell ref="B19:D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15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51</v>
      </c>
      <c r="C9" s="87"/>
      <c r="D9" s="87"/>
      <c r="E9" s="87"/>
      <c r="F9" s="88"/>
      <c r="G9" s="12">
        <f>'Fane 3. Korrigeret grundlag'!G12-'Fane 3. Korrigeret grundlag'!G11+SUM('Fane 2.1. Økonomisk ramme 2018'!E13:E14,'Fane 2.1. Økonomisk ramme 2018'!E16:E17)</f>
        <v>63225759.443630651</v>
      </c>
      <c r="H9" s="23" t="s">
        <v>4</v>
      </c>
      <c r="I9" s="2"/>
    </row>
    <row r="10" spans="1:9" x14ac:dyDescent="0.25">
      <c r="A10" s="2"/>
      <c r="B10" s="51" t="s">
        <v>190</v>
      </c>
      <c r="C10" s="49"/>
      <c r="D10" s="49"/>
      <c r="E10" s="49"/>
      <c r="F10" s="50"/>
      <c r="G10" s="12">
        <v>-1230580.5107894391</v>
      </c>
      <c r="H10" s="23" t="s">
        <v>4</v>
      </c>
      <c r="I10" s="2"/>
    </row>
    <row r="11" spans="1:9" x14ac:dyDescent="0.25">
      <c r="A11" s="2"/>
      <c r="B11" s="86" t="s">
        <v>37</v>
      </c>
      <c r="C11" s="87"/>
      <c r="D11" s="87"/>
      <c r="E11" s="87"/>
      <c r="F11" s="88"/>
      <c r="G11" s="29">
        <v>2</v>
      </c>
      <c r="H11" s="23" t="s">
        <v>38</v>
      </c>
      <c r="I11" s="2"/>
    </row>
    <row r="12" spans="1:9" x14ac:dyDescent="0.25">
      <c r="A12" s="2"/>
      <c r="B12" s="96" t="s">
        <v>15</v>
      </c>
      <c r="C12" s="97"/>
      <c r="D12" s="97"/>
      <c r="E12" s="97"/>
      <c r="F12" s="98"/>
      <c r="G12" s="21">
        <f>($G$9+G10)*(1+'Fane 2.1. Økonomisk ramme 2018'!E18/100)*($G$11/100)</f>
        <v>1261601.8912833186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53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109" t="s">
        <v>47</v>
      </c>
      <c r="C9" s="110"/>
      <c r="D9" s="110"/>
      <c r="E9" s="110"/>
      <c r="F9" s="111"/>
      <c r="G9" s="12">
        <f>'Fane 3. Korrigeret grundlag'!G9+(SUM('Fane 2.1. Økonomisk ramme 2018'!E13,'Fane 2.1. Økonomisk ramme 2018'!E16))</f>
        <v>21167453.593555637</v>
      </c>
      <c r="H9" s="23" t="s">
        <v>4</v>
      </c>
      <c r="I9" s="2"/>
    </row>
    <row r="10" spans="1:9" x14ac:dyDescent="0.25">
      <c r="A10" s="2"/>
      <c r="B10" s="52" t="s">
        <v>189</v>
      </c>
      <c r="C10" s="53"/>
      <c r="D10" s="53"/>
      <c r="E10" s="53"/>
      <c r="F10" s="54"/>
      <c r="G10" s="12">
        <v>-411953.44</v>
      </c>
      <c r="H10" s="23" t="s">
        <v>4</v>
      </c>
      <c r="I10" s="2"/>
    </row>
    <row r="11" spans="1:9" x14ac:dyDescent="0.25">
      <c r="A11" s="2"/>
      <c r="B11" s="86" t="s">
        <v>16</v>
      </c>
      <c r="C11" s="87"/>
      <c r="D11" s="87"/>
      <c r="E11" s="87"/>
      <c r="F11" s="88"/>
      <c r="G11" s="37">
        <f>2</f>
        <v>2</v>
      </c>
      <c r="H11" s="23" t="s">
        <v>38</v>
      </c>
      <c r="I11" s="2"/>
    </row>
    <row r="12" spans="1:9" x14ac:dyDescent="0.25">
      <c r="A12" s="2"/>
      <c r="B12" s="93" t="s">
        <v>39</v>
      </c>
      <c r="C12" s="94"/>
      <c r="D12" s="94"/>
      <c r="E12" s="94"/>
      <c r="F12" s="95"/>
      <c r="G12" s="18">
        <f>($G$9+$G$10)*(1+'Fane 2.1. Økonomisk ramme 2018'!E18/100)*$G$11/100</f>
        <v>422374.42812485719</v>
      </c>
      <c r="H12" s="38" t="s">
        <v>4</v>
      </c>
      <c r="I12" s="2"/>
    </row>
    <row r="13" spans="1:9" x14ac:dyDescent="0.25">
      <c r="A13" s="2"/>
      <c r="B13" s="86" t="s">
        <v>48</v>
      </c>
      <c r="C13" s="87"/>
      <c r="D13" s="87"/>
      <c r="E13" s="87"/>
      <c r="F13" s="88"/>
      <c r="G13" s="12">
        <f xml:space="preserve"> 'Fane 3. Korrigeret grundlag'!G10+SUM('Fane 2.1. Økonomisk ramme 2018'!E14,'Fane 2.1. Økonomisk ramme 2018'!E17)</f>
        <v>42058305.850075006</v>
      </c>
      <c r="H13" s="23" t="s">
        <v>4</v>
      </c>
      <c r="I13" s="2"/>
    </row>
    <row r="14" spans="1:9" x14ac:dyDescent="0.25">
      <c r="A14" s="2"/>
      <c r="B14" s="51" t="s">
        <v>191</v>
      </c>
      <c r="C14" s="49"/>
      <c r="D14" s="49"/>
      <c r="E14" s="49"/>
      <c r="F14" s="50"/>
      <c r="G14" s="12">
        <v>-385984.72640000004</v>
      </c>
      <c r="H14" s="23" t="s">
        <v>4</v>
      </c>
      <c r="I14" s="2"/>
    </row>
    <row r="15" spans="1:9" x14ac:dyDescent="0.25">
      <c r="A15" s="2"/>
      <c r="B15" s="86" t="s">
        <v>16</v>
      </c>
      <c r="C15" s="87"/>
      <c r="D15" s="87"/>
      <c r="E15" s="87"/>
      <c r="F15" s="88"/>
      <c r="G15" s="30">
        <v>1.77</v>
      </c>
      <c r="H15" s="23" t="s">
        <v>38</v>
      </c>
      <c r="I15" s="2"/>
    </row>
    <row r="16" spans="1:9" x14ac:dyDescent="0.25">
      <c r="A16" s="2"/>
      <c r="B16" s="93" t="s">
        <v>40</v>
      </c>
      <c r="C16" s="94"/>
      <c r="D16" s="94"/>
      <c r="E16" s="94"/>
      <c r="F16" s="95"/>
      <c r="G16" s="18">
        <f>($G$13+$G$14)*(1+'Fane 2.1. Økonomisk ramme 2018'!E18/100)*$G$15/100</f>
        <v>750508.08535710606</v>
      </c>
      <c r="H16" s="38" t="s">
        <v>4</v>
      </c>
      <c r="I16" s="2"/>
    </row>
    <row r="17" spans="1:9" x14ac:dyDescent="0.25">
      <c r="A17" s="2"/>
      <c r="B17" s="96" t="s">
        <v>52</v>
      </c>
      <c r="C17" s="97"/>
      <c r="D17" s="97"/>
      <c r="E17" s="97"/>
      <c r="F17" s="98"/>
      <c r="G17" s="21">
        <f>G12+G16</f>
        <v>1172882.5134819632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73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54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42</v>
      </c>
      <c r="C9" s="87"/>
      <c r="D9" s="87"/>
      <c r="E9" s="87"/>
      <c r="F9" s="88"/>
      <c r="G9" s="27">
        <v>9213877</v>
      </c>
      <c r="H9" s="23" t="s">
        <v>4</v>
      </c>
      <c r="I9" s="2"/>
    </row>
    <row r="10" spans="1:9" x14ac:dyDescent="0.25">
      <c r="A10" s="2"/>
      <c r="B10" s="86" t="s">
        <v>120</v>
      </c>
      <c r="C10" s="87"/>
      <c r="D10" s="87"/>
      <c r="E10" s="87"/>
      <c r="F10" s="88"/>
      <c r="G10" s="27">
        <v>6946944.3783068787</v>
      </c>
      <c r="H10" s="23" t="s">
        <v>4</v>
      </c>
      <c r="I10" s="2"/>
    </row>
    <row r="11" spans="1:9" x14ac:dyDescent="0.25">
      <c r="A11" s="2"/>
      <c r="B11" s="112" t="s">
        <v>45</v>
      </c>
      <c r="C11" s="113"/>
      <c r="D11" s="113"/>
      <c r="E11" s="113"/>
      <c r="F11" s="114"/>
      <c r="G11" s="57">
        <f>G9-G10</f>
        <v>2266932.6216931213</v>
      </c>
      <c r="H11" s="39" t="s">
        <v>4</v>
      </c>
      <c r="I11" s="2"/>
    </row>
    <row r="12" spans="1:9" x14ac:dyDescent="0.25">
      <c r="A12" s="2"/>
      <c r="B12" s="86" t="s">
        <v>43</v>
      </c>
      <c r="C12" s="87"/>
      <c r="D12" s="87"/>
      <c r="E12" s="87"/>
      <c r="F12" s="88"/>
      <c r="G12" s="27">
        <v>3</v>
      </c>
      <c r="H12" s="23" t="s">
        <v>125</v>
      </c>
      <c r="I12" s="2"/>
    </row>
    <row r="13" spans="1:9" x14ac:dyDescent="0.25">
      <c r="A13" s="2"/>
      <c r="B13" s="96" t="s">
        <v>41</v>
      </c>
      <c r="C13" s="97"/>
      <c r="D13" s="97"/>
      <c r="E13" s="97"/>
      <c r="F13" s="98"/>
      <c r="G13" s="21">
        <f>IF(G12 = 0,0,G11/G12)</f>
        <v>755644.20723104046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74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75</v>
      </c>
      <c r="C8" s="97"/>
      <c r="D8" s="97"/>
      <c r="E8" s="97"/>
      <c r="F8" s="97"/>
      <c r="G8" s="98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5" t="s">
        <v>3</v>
      </c>
      <c r="G9" s="115"/>
      <c r="H9" s="2"/>
    </row>
    <row r="10" spans="1:8" ht="26.25" x14ac:dyDescent="0.25">
      <c r="A10" s="2"/>
      <c r="B10" s="47" t="s">
        <v>146</v>
      </c>
      <c r="C10" s="41">
        <v>2016</v>
      </c>
      <c r="D10" s="28">
        <v>50</v>
      </c>
      <c r="E10" s="27">
        <v>1186504</v>
      </c>
      <c r="F10" s="12">
        <f>E10/D10</f>
        <v>23730.080000000002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75</v>
      </c>
      <c r="E11" s="27">
        <v>4181678</v>
      </c>
      <c r="F11" s="12">
        <f t="shared" ref="F11:F30" si="0">E11/D11</f>
        <v>55755.706666666665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75</v>
      </c>
      <c r="E12" s="27">
        <v>10257729</v>
      </c>
      <c r="F12" s="12">
        <f t="shared" si="0"/>
        <v>136769.72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75</v>
      </c>
      <c r="E13" s="27">
        <v>1767944</v>
      </c>
      <c r="F13" s="12">
        <f t="shared" si="0"/>
        <v>23572.586666666666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75</v>
      </c>
      <c r="E14" s="27">
        <v>3687910</v>
      </c>
      <c r="F14" s="12">
        <f t="shared" si="0"/>
        <v>49172.133333333331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75</v>
      </c>
      <c r="E15" s="27">
        <v>102085</v>
      </c>
      <c r="F15" s="12">
        <f t="shared" si="0"/>
        <v>1361.1333333333334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75</v>
      </c>
      <c r="E16" s="27">
        <v>950990</v>
      </c>
      <c r="F16" s="12">
        <f t="shared" si="0"/>
        <v>12679.866666666667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20</v>
      </c>
      <c r="E17" s="27">
        <v>1424677</v>
      </c>
      <c r="F17" s="12">
        <f t="shared" si="0"/>
        <v>71233.850000000006</v>
      </c>
      <c r="G17" s="23" t="s">
        <v>4</v>
      </c>
      <c r="H17" s="2"/>
    </row>
    <row r="18" spans="1:8" x14ac:dyDescent="0.25">
      <c r="A18" s="2"/>
      <c r="B18" s="47" t="s">
        <v>154</v>
      </c>
      <c r="C18" s="41">
        <v>2016</v>
      </c>
      <c r="D18" s="28">
        <v>10</v>
      </c>
      <c r="E18" s="27">
        <v>109342</v>
      </c>
      <c r="F18" s="12">
        <f t="shared" si="0"/>
        <v>10934.2</v>
      </c>
      <c r="G18" s="23" t="s">
        <v>4</v>
      </c>
      <c r="H18" s="2"/>
    </row>
    <row r="19" spans="1:8" x14ac:dyDescent="0.25">
      <c r="A19" s="2"/>
      <c r="B19" s="47" t="s">
        <v>155</v>
      </c>
      <c r="C19" s="41">
        <v>2016</v>
      </c>
      <c r="D19" s="28">
        <v>50</v>
      </c>
      <c r="E19" s="27">
        <v>81177</v>
      </c>
      <c r="F19" s="12">
        <f t="shared" si="0"/>
        <v>1623.54</v>
      </c>
      <c r="G19" s="23" t="s">
        <v>4</v>
      </c>
      <c r="H19" s="2"/>
    </row>
    <row r="20" spans="1:8" x14ac:dyDescent="0.25">
      <c r="A20" s="2"/>
      <c r="B20" s="47" t="s">
        <v>156</v>
      </c>
      <c r="C20" s="41">
        <v>2016</v>
      </c>
      <c r="D20" s="28">
        <v>20</v>
      </c>
      <c r="E20" s="27">
        <v>251760</v>
      </c>
      <c r="F20" s="12">
        <f t="shared" si="0"/>
        <v>12588</v>
      </c>
      <c r="G20" s="23" t="s">
        <v>4</v>
      </c>
      <c r="H20" s="2"/>
    </row>
    <row r="21" spans="1:8" x14ac:dyDescent="0.25">
      <c r="A21" s="2"/>
      <c r="B21" s="47" t="s">
        <v>157</v>
      </c>
      <c r="C21" s="41">
        <v>2016</v>
      </c>
      <c r="D21" s="28">
        <v>60</v>
      </c>
      <c r="E21" s="27">
        <v>222392</v>
      </c>
      <c r="F21" s="12">
        <f t="shared" si="0"/>
        <v>3706.5333333333333</v>
      </c>
      <c r="G21" s="23" t="s">
        <v>4</v>
      </c>
      <c r="H21" s="2"/>
    </row>
    <row r="22" spans="1:8" x14ac:dyDescent="0.25">
      <c r="A22" s="2"/>
      <c r="B22" s="47" t="s">
        <v>158</v>
      </c>
      <c r="C22" s="41">
        <v>2016</v>
      </c>
      <c r="D22" s="28">
        <v>10</v>
      </c>
      <c r="E22" s="27">
        <v>357579</v>
      </c>
      <c r="F22" s="12">
        <f t="shared" si="0"/>
        <v>35757.9</v>
      </c>
      <c r="G22" s="23" t="s">
        <v>4</v>
      </c>
      <c r="H22" s="2"/>
    </row>
    <row r="23" spans="1:8" x14ac:dyDescent="0.25">
      <c r="A23" s="2"/>
      <c r="B23" s="47" t="s">
        <v>159</v>
      </c>
      <c r="C23" s="41">
        <v>2016</v>
      </c>
      <c r="D23" s="28">
        <v>20</v>
      </c>
      <c r="E23" s="27">
        <v>580011</v>
      </c>
      <c r="F23" s="12">
        <f t="shared" si="0"/>
        <v>29000.55</v>
      </c>
      <c r="G23" s="23" t="s">
        <v>4</v>
      </c>
      <c r="H23" s="2"/>
    </row>
    <row r="24" spans="1:8" x14ac:dyDescent="0.25">
      <c r="A24" s="2"/>
      <c r="B24" s="47" t="s">
        <v>160</v>
      </c>
      <c r="C24" s="41">
        <v>2016</v>
      </c>
      <c r="D24" s="28">
        <v>20</v>
      </c>
      <c r="E24" s="27">
        <v>108982</v>
      </c>
      <c r="F24" s="12">
        <f t="shared" si="0"/>
        <v>5449.1</v>
      </c>
      <c r="G24" s="23" t="s">
        <v>4</v>
      </c>
      <c r="H24" s="2"/>
    </row>
    <row r="25" spans="1:8" x14ac:dyDescent="0.25">
      <c r="A25" s="2"/>
      <c r="B25" s="47" t="s">
        <v>161</v>
      </c>
      <c r="C25" s="41">
        <v>2016</v>
      </c>
      <c r="D25" s="28">
        <v>10</v>
      </c>
      <c r="E25" s="27">
        <v>7265</v>
      </c>
      <c r="F25" s="12">
        <f t="shared" si="0"/>
        <v>726.5</v>
      </c>
      <c r="G25" s="23" t="s">
        <v>4</v>
      </c>
      <c r="H25" s="2"/>
    </row>
    <row r="26" spans="1:8" x14ac:dyDescent="0.25">
      <c r="A26" s="2"/>
      <c r="B26" s="47" t="s">
        <v>162</v>
      </c>
      <c r="C26" s="41">
        <v>2016</v>
      </c>
      <c r="D26" s="28">
        <v>20</v>
      </c>
      <c r="E26" s="27">
        <v>63720</v>
      </c>
      <c r="F26" s="12">
        <f t="shared" si="0"/>
        <v>3186</v>
      </c>
      <c r="G26" s="23" t="s">
        <v>4</v>
      </c>
      <c r="H26" s="2"/>
    </row>
    <row r="27" spans="1:8" x14ac:dyDescent="0.25">
      <c r="A27" s="2"/>
      <c r="B27" s="47" t="s">
        <v>163</v>
      </c>
      <c r="C27" s="41">
        <v>2016</v>
      </c>
      <c r="D27" s="28">
        <v>5</v>
      </c>
      <c r="E27" s="27">
        <v>190157</v>
      </c>
      <c r="F27" s="12">
        <f t="shared" si="0"/>
        <v>38031.4</v>
      </c>
      <c r="G27" s="23" t="s">
        <v>4</v>
      </c>
      <c r="H27" s="2"/>
    </row>
    <row r="28" spans="1:8" x14ac:dyDescent="0.25">
      <c r="A28" s="2"/>
      <c r="B28" s="47" t="s">
        <v>164</v>
      </c>
      <c r="C28" s="41">
        <v>2016</v>
      </c>
      <c r="D28" s="28">
        <v>20</v>
      </c>
      <c r="E28" s="27">
        <v>164697</v>
      </c>
      <c r="F28" s="12">
        <f t="shared" si="0"/>
        <v>8234.85</v>
      </c>
      <c r="G28" s="23" t="s">
        <v>4</v>
      </c>
      <c r="H28" s="2"/>
    </row>
    <row r="29" spans="1:8" x14ac:dyDescent="0.25">
      <c r="A29" s="2"/>
      <c r="B29" s="47" t="s">
        <v>148</v>
      </c>
      <c r="C29" s="41">
        <v>2016</v>
      </c>
      <c r="D29" s="28">
        <v>23</v>
      </c>
      <c r="E29" s="27">
        <v>34779</v>
      </c>
      <c r="F29" s="12">
        <f t="shared" si="0"/>
        <v>1512.1304347826087</v>
      </c>
      <c r="G29" s="23" t="s">
        <v>4</v>
      </c>
      <c r="H29" s="2"/>
    </row>
    <row r="30" spans="1:8" x14ac:dyDescent="0.25">
      <c r="A30" s="2"/>
      <c r="B30" s="47" t="s">
        <v>148</v>
      </c>
      <c r="C30" s="41">
        <v>2016</v>
      </c>
      <c r="D30" s="28">
        <v>56</v>
      </c>
      <c r="E30" s="27">
        <v>47107</v>
      </c>
      <c r="F30" s="12">
        <f t="shared" si="0"/>
        <v>841.19642857142856</v>
      </c>
      <c r="G30" s="23" t="s">
        <v>4</v>
      </c>
      <c r="H30" s="2"/>
    </row>
    <row r="31" spans="1:8" x14ac:dyDescent="0.25">
      <c r="A31" s="2"/>
      <c r="B31" s="96" t="s">
        <v>76</v>
      </c>
      <c r="C31" s="97"/>
      <c r="D31" s="97"/>
      <c r="E31" s="98"/>
      <c r="F31" s="21">
        <f>SUM(F10:F30)</f>
        <v>525866.9768633541</v>
      </c>
      <c r="G31" s="22" t="s">
        <v>4</v>
      </c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</sheetData>
  <sheetProtection password="DFE9" sheet="1" objects="1" scenarios="1"/>
  <mergeCells count="4">
    <mergeCell ref="B31:E3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2017-09-29T11:25:17Z</dcterms:modified>
</cp:coreProperties>
</file>