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E5" i="16"/>
  <c r="G3" i="16" s="1"/>
  <c r="D5" i="16"/>
  <c r="D6" i="16"/>
  <c r="M3" i="24" l="1"/>
  <c r="B9" i="12" s="1"/>
  <c r="B10" i="12" s="1"/>
  <c r="F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<sst xmlns="http://schemas.openxmlformats.org/spreadsheetml/2006/main" count="111" uniqueCount="75">
  <si>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</si>
  <si>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</si>
  <si>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</si>
  <si>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</si>
  <si>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</si>
  <si>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</si>
  <si>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</si>
  <si>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</si>
  <si>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</si>
  <si>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</si>
  <si>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</si>
  <si>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</si>
  <si>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</si>
  <si>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</si>
  <si>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</si>
  <si>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</si>
  <si>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</si>
  <si>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</si>
  <si>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</si>
  <si>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</si>
  <si>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</si>
  <si>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</si>
  <si>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</si>
  <si>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Skærpede rensningskrav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</si>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</sst>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22867815.751643032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308132.18580694636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111342.43199999999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23287290.369449977</v>
      </c>
      <c r="C5" s="62" t="s">
        <v>11</v>
      </c>
    </row>
    <row r="6" spans="1:3" x14ac:dyDescent="0.25">
      <c r="A6" s="47" t="s">
        <v>0</v>
      </c>
      <c r="B6" s="38">
        <f>Investeringer!E3</f>
        <v>39709031.325105608</v>
      </c>
      <c r="C6" s="23" t="s">
        <v>11</v>
      </c>
    </row>
    <row r="7" spans="1:3" x14ac:dyDescent="0.25">
      <c r="A7" s="4" t="s">
        <v>1</v>
      </c>
      <c r="B7" s="35">
        <f>Investeringer!F3</f>
        <v>5930441.9666581796</v>
      </c>
      <c r="C7" t="s">
        <v>11</v>
      </c>
    </row>
    <row r="8" spans="1:3" x14ac:dyDescent="0.25">
      <c r="A8" s="4" t="s">
        <v>2</v>
      </c>
      <c r="B8" s="35">
        <f>Investeringer!G3</f>
        <v>1669413.049588436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3347379.4640000002</v>
      </c>
      <c r="C9" t="s">
        <v>11</v>
      </c>
    </row>
    <row r="10" spans="1:3" s="22" customFormat="1" x14ac:dyDescent="0.25">
      <c r="A10" s="3" t="s">
        <v>48</v>
      </c>
      <c r="B10" s="48">
        <f>SUM(B6:B9)</f>
        <v>50656265.805352226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2170125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2170125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76113681.174802199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76787419.69100444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26714599</v>
      </c>
      <c r="C2" s="49">
        <v>0</v>
      </c>
      <c r="D2" s="49">
        <f>B2+C2</f>
        <v>26714599</v>
      </c>
      <c r="E2" s="50">
        <f>D2</f>
        <v>26714599</v>
      </c>
      <c r="F2" s="49">
        <v>22867815.751643032</v>
      </c>
      <c r="G2" s="49">
        <v>0</v>
      </c>
      <c r="H2" s="49">
        <f>F2-G2</f>
        <v>22867815.751643032</v>
      </c>
      <c r="I2" s="49">
        <f>AVERAGEIF(E2:E4,"&lt;&gt;0")</f>
        <v>26475744.484481331</v>
      </c>
      <c r="J2" s="49">
        <v>18121355.064863916</v>
      </c>
      <c r="K2" s="39">
        <f>IF(H2&gt;I2,IF(I2&gt;J2,I2,J2),H2)</f>
        <v>22867815.751643032</v>
      </c>
    </row>
    <row r="3" spans="1:11" s="23" customFormat="1" x14ac:dyDescent="0.25">
      <c r="A3" s="28">
        <v>2014</v>
      </c>
      <c r="B3" s="49">
        <v>25078396</v>
      </c>
      <c r="C3" s="49"/>
      <c r="D3" s="49">
        <f t="shared" ref="D3:D4" si="0">B3+C3</f>
        <v>25078396</v>
      </c>
      <c r="E3" s="50">
        <f>D3*Pristalsregulering!C7</f>
        <v>25098458.716799997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27184337</v>
      </c>
      <c r="C4" s="49"/>
      <c r="D4" s="49">
        <f t="shared" si="0"/>
        <v>27184337</v>
      </c>
      <c r="E4" s="50">
        <f>D4*Pristalsregulering!$C$6*Pristalsregulering!$C$7</f>
        <v>27614175.736643992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63" width="0" hidden="1" customWidth="1"/>
    <col min="64" max="64" width="9.140625" hidden="1" customWidth="1"/>
    <col min="65" max="111" width="0" hidden="1" customWidth="1"/>
    <col min="112" max="112" width="9.140625" hidden="1" customWidth="1"/>
    <col min="113" max="126" width="0" hidden="1" customWidth="1"/>
    <col min="127" max="127" width="9.140625" hidden="1" customWidth="1"/>
    <col min="128" max="174" width="0" hidden="1" customWidth="1"/>
    <col min="175" max="175" width="9.140625" hidden="1" customWidth="1"/>
    <col min="176" max="222" width="0" hidden="1" customWidth="1"/>
    <col min="223" max="223" width="9.140625" hidden="1" customWidth="1"/>
    <col min="224" max="237" width="0" hidden="1" customWidth="1"/>
    <col min="238" max="238" width="9.140625" hidden="1" customWidth="1"/>
    <col min="239" max="285" width="0" hidden="1" customWidth="1"/>
    <col min="286" max="286" width="9.140625" hidden="1" customWidth="1"/>
    <col min="287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1739</v>
      </c>
      <c r="D3" s="45">
        <f>B3/Pristalsregulering!$C$8</f>
        <v>0</v>
      </c>
      <c r="E3" s="35">
        <f>C3/Pristalsregulering!$C$8</f>
        <v>1745.6334069463965</v>
      </c>
      <c r="F3" s="45">
        <f>IF(D4=0,0,AVERAGEIF(D4:D6,"&lt;&gt;0"))+D3</f>
        <v>306386.55239999999</v>
      </c>
      <c r="G3" s="38">
        <f>IF(E4=0,0,AVERAGEIF(E4:E6,"&lt;&gt;0"))+E3</f>
        <v>1745.6334069463965</v>
      </c>
      <c r="H3" s="57">
        <f>SUM(F3:G3)</f>
        <v>308132.18580694636</v>
      </c>
    </row>
    <row r="4" spans="1:8" x14ac:dyDescent="0.25">
      <c r="A4" s="28">
        <v>2015</v>
      </c>
      <c r="B4" s="35">
        <v>369948</v>
      </c>
      <c r="C4" s="35"/>
      <c r="D4" s="45">
        <f>B4</f>
        <v>369948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242631</v>
      </c>
      <c r="C5" s="35"/>
      <c r="D5" s="45">
        <f>B5*Pristalsregulering!$C$7</f>
        <v>242825.10479999997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19500</v>
      </c>
      <c r="C3" s="42">
        <v>103520</v>
      </c>
      <c r="D3" s="42">
        <v>0</v>
      </c>
      <c r="E3" s="41">
        <f>B3</f>
        <v>19500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111342.43199999999</v>
      </c>
    </row>
    <row r="4" spans="1:8" x14ac:dyDescent="0.25">
      <c r="A4" s="31">
        <v>2014</v>
      </c>
      <c r="B4" s="41">
        <v>19190</v>
      </c>
      <c r="C4" s="42">
        <v>78400</v>
      </c>
      <c r="D4" s="42">
        <v>0</v>
      </c>
      <c r="E4" s="41">
        <f>B4*Pristalsregulering!$C$7</f>
        <v>19205.351999999999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22000</v>
      </c>
      <c r="C5" s="42">
        <v>0</v>
      </c>
      <c r="D5" s="42">
        <v>0</v>
      </c>
      <c r="E5" s="41">
        <f>B5*Pristalsregulering!$C$7*Pristalsregulering!$C$6</f>
        <v>22347.863999999998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36473839.508524284</v>
      </c>
      <c r="C3" s="38">
        <v>5755925.0799999973</v>
      </c>
      <c r="D3" s="40">
        <v>1663069.28</v>
      </c>
      <c r="E3" s="35">
        <f>B3*Pristalsregulering!C2*Pristalsregulering!C3*Pristalsregulering!C4*Pristalsregulering!C5*Pristalsregulering!C6*Pristalsregulering!C7</f>
        <v>39709031.325105608</v>
      </c>
      <c r="F3" s="35">
        <v>5930441.9666581796</v>
      </c>
      <c r="G3" s="35">
        <f xml:space="preserve"> D3/Pristalsregulering!$C$8</f>
        <v>1669413.049588436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3342631</v>
      </c>
      <c r="D3" s="38">
        <v>7500</v>
      </c>
      <c r="E3" s="40">
        <v>0</v>
      </c>
      <c r="F3" s="38">
        <f>B3</f>
        <v>0</v>
      </c>
      <c r="G3" s="38">
        <f>C3</f>
        <v>3342631</v>
      </c>
      <c r="H3" s="38">
        <f>D3</f>
        <v>7500</v>
      </c>
      <c r="I3" s="40">
        <f>E3</f>
        <v>0</v>
      </c>
      <c r="J3" s="42">
        <f>AVERAGE(F3:F5)</f>
        <v>0</v>
      </c>
      <c r="K3" s="42">
        <f>G3</f>
        <v>3342631</v>
      </c>
      <c r="L3" s="43">
        <f>AVERAGE(H3:H5)+AVERAGE(I3:I5)</f>
        <v>4748.4639999999999</v>
      </c>
      <c r="M3" s="44">
        <f>SUM(J3:L3)</f>
        <v>3347379.4640000002</v>
      </c>
      <c r="N3" s="23"/>
    </row>
    <row r="4" spans="1:14" x14ac:dyDescent="0.25">
      <c r="A4" s="28">
        <v>2014</v>
      </c>
      <c r="B4" s="45">
        <v>0</v>
      </c>
      <c r="C4" s="38">
        <v>3308302</v>
      </c>
      <c r="D4" s="38">
        <v>6740</v>
      </c>
      <c r="E4" s="40">
        <v>0</v>
      </c>
      <c r="F4" s="38">
        <f>IF(B4="","",B4*Pristalsregulering!$C$7)</f>
        <v>0</v>
      </c>
      <c r="G4" s="38">
        <f>IF(C4="","",C4*Pristalsregulering!$C$7)</f>
        <v>3310948.6415999997</v>
      </c>
      <c r="H4" s="38">
        <f>IF(D4="","",D4*Pristalsregulering!$C$7)</f>
        <v>6745.3919999999998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3460000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3514709.5199999991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220764</v>
      </c>
      <c r="E2" s="42">
        <v>197369</v>
      </c>
      <c r="F2" s="42">
        <v>0</v>
      </c>
      <c r="G2" s="42">
        <v>0</v>
      </c>
      <c r="H2" s="42">
        <v>1719469</v>
      </c>
      <c r="I2" s="42">
        <v>0</v>
      </c>
      <c r="J2" s="42"/>
      <c r="K2" s="42"/>
      <c r="L2" s="43">
        <v>0</v>
      </c>
      <c r="M2" s="44">
        <f>SUM(B2:L2)</f>
        <v>2170125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2017-09-14T11:44:57Z</dcterms:modified>
</cp:coreProperties>
</file>