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54" i="11" l="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9" i="2" s="1"/>
  <c r="E15" i="13"/>
  <c r="F11" i="11"/>
  <c r="F55" i="11"/>
  <c r="E16" i="15" l="1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56" i="11" s="1"/>
  <c r="E24" i="2"/>
  <c r="G24" i="2" s="1"/>
  <c r="G35" i="12" l="1"/>
  <c r="E30" i="2" s="1"/>
  <c r="G33" i="12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<sst xmlns="http://schemas.openxmlformats.org/spreadsheetml/2006/main" count="423" uniqueCount="198">
  <si>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</si>
  <si>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</si>
  <si>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</si>
  <si>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</si>
  <si>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</si>
  <si>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</si>
  <si>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</si>
  <si>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</si>
  <si>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</si>
  <si>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</si>
  <si>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</si>
  <si>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</si>
  <si>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</si>
  <si>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</si>
  <si>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</si>
  <si>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</si>
  <si>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</si>
  <si>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</si>
  <si>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</si>
  <si>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</si>
  <si>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</si>
  <si>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</si>
  <si>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</si>
  <si>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</si>
  <si>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</si>
  <si>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</si>
  <si>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</si>
  <si>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</si>
  <si>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</si>
  <si>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</si>
  <si>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</si>
  <si>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</si>
  <si>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</si>
  <si>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</si>
  <si>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</si>
  <si>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</si>
  <si>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</si>
  <si>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</si>
  <si>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</si>
  <si>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</si>
  <si>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</si>
  <si>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</si>
  <si>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</si>
  <si>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</si>
  <si>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</si>
  <si>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</si>
  <si>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</si>
  <si>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</si>
  <si>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</si>
  <si>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</si>
  <si>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</si>
  <si>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</si>
  <si>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</si>
  <si>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</si>
  <si>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</si>
  <si>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</si>
  <si>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</si>
  <si>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</si>
  <si>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</si>
  <si>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</si>
  <si>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</si>
  <si>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</si>
  <si>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</si>
  <si>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</si>
  <si>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</si>
  <si>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</si>
  <si>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</si>
  <si>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</si>
  <si>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</si>
  <si>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</si>
  <si>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</si>
  <si>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</si>
  <si>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</si>
  <si>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</si>
  <si>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</si>
  <si>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</si>
  <si>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</si>
  <si>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</si>
  <si>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</si>
  <si>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</si>
  <si>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</si>
  <si>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</si>
  <si>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</si>
  <si>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</si>
  <si>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</si>
  <si>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</si>
  <si>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</si>
  <si>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</si>
  <si>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</si>
  <si>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</si>
  <si>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</si>
  <si>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</si>
  <si>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</si>
  <si>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</si>
  <si>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</si>
  <si>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</si>
  <si>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</si>
  <si>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</si>
  <si>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</si>
  <si>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</si>
  <si>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</si>
  <si>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</si>
  <si>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</si>
  <si>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</si>
  <si>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</si>
  <si>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</si>
  <si>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</si>
  <si>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</si>
  <si>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</si>
  <si>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</si>
  <si>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</si>
  <si>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</si>
  <si>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</si>
  <si>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</si>
  <si>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</si>
  <si>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</si>
  <si>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</si>
  <si>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</si>
  <si>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</si>
  <si>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</si>
  <si>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</si>
  <si>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</si>
  <si>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</si>
  <si>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</si>
  <si>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</si>
  <si>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</si>
  <si>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</si>
  <si>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</si>
  <si>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</si>
  <si>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</si>
  <si>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</si>
  <si>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</si>
  <si>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</si>
  <si>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</si>
  <si>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</si>
  <si>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</si>
  <si>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</si>
  <si>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</si>
  <si>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</si>
  <si>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</si>
  <si>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</si>
  <si>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</si>
  <si>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</si>
  <si>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</si>
  <si>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</si>
  <si>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</si>
  <si>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Beluftningstanke, Mek/EL</t>
  </si>
  <si>
    <t>Indløb med riste, Konstruktioner</t>
  </si>
  <si>
    <t>Indløb med riste, Mek/EL</t>
  </si>
  <si>
    <t>Indløb med riste, SRO</t>
  </si>
  <si>
    <t>Efterklaringstanke, Konstruktioner</t>
  </si>
  <si>
    <t>Efterbehandlingsanlæg (sandfilter), Mek/EL</t>
  </si>
  <si>
    <t>Efterklaringstanke, SRO</t>
  </si>
  <si>
    <t>Sand- og fedtfang, SRO</t>
  </si>
  <si>
    <t>Forklaring, SRO</t>
  </si>
  <si>
    <t>Beluftningstanke, SRO</t>
  </si>
  <si>
    <t>Efterbehandlingsanlæg (sandfilter), SRO</t>
  </si>
  <si>
    <t>Køretøjer, små lastvogne (&lt; 3.500 kg.)</t>
  </si>
  <si>
    <t>Ledningsnet ≤ Ø 200 mm</t>
  </si>
  <si>
    <t>Ø 200 mm &lt; Ledningsnet ≤ Ø 500 mm</t>
  </si>
  <si>
    <t>Ø 500 mm &lt; Ledningsnet ≤ Ø 800 mm</t>
  </si>
  <si>
    <t>Strømpeforing ≤ Ø 200 mm</t>
  </si>
  <si>
    <t>Strømpeforing Ø 200 mm &lt; Ledningsnet ≤ Ø 500 mm</t>
  </si>
  <si>
    <t>Strømpeforing Ø 500 mm &lt; Ledningsnet ≤ Ø 800 mm</t>
  </si>
  <si>
    <t>Brønde</t>
  </si>
  <si>
    <t>Stik</t>
  </si>
  <si>
    <t>Pumpestationer i brønde (&lt; 6,25 m2), Konstruktioner</t>
  </si>
  <si>
    <t>Pumpestationer i brønde (&lt; 6,25 m2), Mek/EL</t>
  </si>
  <si>
    <t>Pumpestationer i brønde (&lt; 6,25 m2), SRO</t>
  </si>
  <si>
    <t>Andre bygninger (tekniske installationer, målere mv.)</t>
  </si>
  <si>
    <t>Ø 800 mm &lt; Ledningsnet ≤ Ø 1000 mm</t>
  </si>
  <si>
    <t>Installationer "mekaniske riste og SRO" Miljøklasse A. (7-20 m2) - Mek/EL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</si>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</sst>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187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86" t="s">
        <v>78</v>
      </c>
      <c r="C9" s="87"/>
      <c r="D9" s="87"/>
      <c r="E9" s="87"/>
      <c r="F9" s="88"/>
      <c r="G9" s="27">
        <v>2623140</v>
      </c>
      <c r="H9" s="23" t="s">
        <v>4</v>
      </c>
      <c r="I9" s="2"/>
    </row>
    <row r="10" spans="1:9" x14ac:dyDescent="0.25">
      <c r="A10" s="2"/>
      <c r="B10" s="86" t="s">
        <v>79</v>
      </c>
      <c r="C10" s="87"/>
      <c r="D10" s="87"/>
      <c r="E10" s="87"/>
      <c r="F10" s="88"/>
      <c r="G10" s="27">
        <v>1654000</v>
      </c>
      <c r="H10" s="23" t="s">
        <v>4</v>
      </c>
      <c r="I10" s="2"/>
    </row>
    <row r="11" spans="1:9" x14ac:dyDescent="0.25">
      <c r="A11" s="2"/>
      <c r="B11" s="96" t="s">
        <v>188</v>
      </c>
      <c r="C11" s="97"/>
      <c r="D11" s="97"/>
      <c r="E11" s="97"/>
      <c r="F11" s="98"/>
      <c r="G11" s="21">
        <f>G9-G10</f>
        <v>969140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189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86" t="s">
        <v>80</v>
      </c>
      <c r="C15" s="87"/>
      <c r="D15" s="87"/>
      <c r="E15" s="87"/>
      <c r="F15" s="88"/>
      <c r="G15" s="27">
        <v>469266</v>
      </c>
      <c r="H15" s="23" t="s">
        <v>4</v>
      </c>
      <c r="I15" s="2"/>
    </row>
    <row r="16" spans="1:9" x14ac:dyDescent="0.25">
      <c r="A16" s="2"/>
      <c r="B16" s="86" t="s">
        <v>81</v>
      </c>
      <c r="C16" s="87"/>
      <c r="D16" s="87"/>
      <c r="E16" s="87"/>
      <c r="F16" s="88"/>
      <c r="G16" s="27">
        <v>221000</v>
      </c>
      <c r="H16" s="23" t="s">
        <v>4</v>
      </c>
      <c r="I16" s="2"/>
    </row>
    <row r="17" spans="1:9" x14ac:dyDescent="0.25">
      <c r="A17" s="2"/>
      <c r="B17" s="96" t="s">
        <v>189</v>
      </c>
      <c r="C17" s="97"/>
      <c r="D17" s="97"/>
      <c r="E17" s="97"/>
      <c r="F17" s="98"/>
      <c r="G17" s="21">
        <f>G15-G16</f>
        <v>248266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190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86" t="s">
        <v>82</v>
      </c>
      <c r="C21" s="87"/>
      <c r="D21" s="87"/>
      <c r="E21" s="87"/>
      <c r="F21" s="88"/>
      <c r="G21" s="27">
        <v>0</v>
      </c>
      <c r="H21" s="23" t="s">
        <v>4</v>
      </c>
      <c r="I21" s="2"/>
    </row>
    <row r="22" spans="1:9" x14ac:dyDescent="0.25">
      <c r="A22" s="2"/>
      <c r="B22" s="86" t="s">
        <v>83</v>
      </c>
      <c r="C22" s="87"/>
      <c r="D22" s="87"/>
      <c r="E22" s="87"/>
      <c r="F22" s="88"/>
      <c r="G22" s="27">
        <v>0</v>
      </c>
      <c r="H22" s="23" t="s">
        <v>4</v>
      </c>
      <c r="I22" s="2"/>
    </row>
    <row r="23" spans="1:9" x14ac:dyDescent="0.25">
      <c r="A23" s="2"/>
      <c r="B23" s="96" t="s">
        <v>190</v>
      </c>
      <c r="C23" s="97"/>
      <c r="D23" s="97"/>
      <c r="E23" s="97"/>
      <c r="F23" s="98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191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3" t="s">
        <v>84</v>
      </c>
      <c r="C27" s="84"/>
      <c r="D27" s="84"/>
      <c r="E27" s="84"/>
      <c r="F27" s="85"/>
      <c r="G27" s="27">
        <v>0</v>
      </c>
      <c r="H27" s="23" t="s">
        <v>4</v>
      </c>
      <c r="I27" s="2"/>
    </row>
    <row r="28" spans="1:9" x14ac:dyDescent="0.25">
      <c r="A28" s="2"/>
      <c r="B28" s="86" t="s">
        <v>85</v>
      </c>
      <c r="C28" s="87"/>
      <c r="D28" s="87"/>
      <c r="E28" s="87"/>
      <c r="F28" s="88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191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86" t="s">
        <v>87</v>
      </c>
      <c r="C33" s="87"/>
      <c r="D33" s="87"/>
      <c r="E33" s="87"/>
      <c r="F33" s="88"/>
      <c r="G33" s="12">
        <f>'Fane 8. Gen. inv. i 2016'!F56</f>
        <v>1368337.9168666666</v>
      </c>
      <c r="H33" s="23" t="s">
        <v>4</v>
      </c>
      <c r="I33" s="2"/>
    </row>
    <row r="34" spans="1:9" x14ac:dyDescent="0.25">
      <c r="A34" s="2"/>
      <c r="B34" s="86" t="s">
        <v>88</v>
      </c>
      <c r="C34" s="87"/>
      <c r="D34" s="87"/>
      <c r="E34" s="87"/>
      <c r="F34" s="88"/>
      <c r="G34" s="27">
        <v>612000</v>
      </c>
      <c r="H34" s="23" t="s">
        <v>4</v>
      </c>
      <c r="I34" s="2"/>
    </row>
    <row r="35" spans="1:9" x14ac:dyDescent="0.25">
      <c r="A35" s="2"/>
      <c r="B35" s="96" t="s">
        <v>86</v>
      </c>
      <c r="C35" s="97"/>
      <c r="D35" s="97"/>
      <c r="E35" s="97"/>
      <c r="F35" s="98"/>
      <c r="G35" s="21">
        <f>G33-G34</f>
        <v>756337.91686666664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90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93" t="s">
        <v>91</v>
      </c>
      <c r="C9" s="94"/>
      <c r="D9" s="94"/>
      <c r="E9" s="94"/>
      <c r="F9" s="95"/>
      <c r="G9" s="26">
        <v>74724783.912929639</v>
      </c>
      <c r="H9" s="38" t="s">
        <v>4</v>
      </c>
      <c r="I9" s="2"/>
    </row>
    <row r="10" spans="1:9" x14ac:dyDescent="0.25">
      <c r="A10" s="2"/>
      <c r="B10" s="96" t="s">
        <v>92</v>
      </c>
      <c r="C10" s="97"/>
      <c r="D10" s="97"/>
      <c r="E10" s="97"/>
      <c r="F10" s="97"/>
      <c r="G10" s="97"/>
      <c r="H10" s="98"/>
      <c r="I10" s="2"/>
    </row>
    <row r="11" spans="1:9" x14ac:dyDescent="0.25">
      <c r="A11" s="2"/>
      <c r="B11" s="86" t="s">
        <v>19</v>
      </c>
      <c r="C11" s="87"/>
      <c r="D11" s="88"/>
      <c r="E11" s="27">
        <v>42434279</v>
      </c>
      <c r="F11" s="23" t="s">
        <v>4</v>
      </c>
      <c r="G11" s="20"/>
      <c r="H11" s="42"/>
      <c r="I11" s="2"/>
    </row>
    <row r="12" spans="1:9" x14ac:dyDescent="0.25">
      <c r="A12" s="2"/>
      <c r="B12" s="86" t="s">
        <v>93</v>
      </c>
      <c r="C12" s="87"/>
      <c r="D12" s="88"/>
      <c r="E12" s="27">
        <v>3672711</v>
      </c>
      <c r="F12" s="23" t="s">
        <v>4</v>
      </c>
      <c r="G12" s="15"/>
      <c r="H12" s="43"/>
      <c r="I12" s="2"/>
    </row>
    <row r="13" spans="1:9" x14ac:dyDescent="0.25">
      <c r="A13" s="2"/>
      <c r="B13" s="86" t="s">
        <v>94</v>
      </c>
      <c r="C13" s="87"/>
      <c r="D13" s="88"/>
      <c r="E13" s="27">
        <v>1139654</v>
      </c>
      <c r="F13" s="23" t="s">
        <v>4</v>
      </c>
      <c r="G13" s="15"/>
      <c r="H13" s="43"/>
      <c r="I13" s="2"/>
    </row>
    <row r="14" spans="1:9" x14ac:dyDescent="0.25">
      <c r="A14" s="2"/>
      <c r="B14" s="86" t="s">
        <v>95</v>
      </c>
      <c r="C14" s="87"/>
      <c r="D14" s="88"/>
      <c r="E14" s="27">
        <v>1394333.3333333333</v>
      </c>
      <c r="F14" s="23" t="s">
        <v>4</v>
      </c>
      <c r="G14" s="15"/>
      <c r="H14" s="43"/>
      <c r="I14" s="2"/>
    </row>
    <row r="15" spans="1:9" x14ac:dyDescent="0.25">
      <c r="A15" s="2"/>
      <c r="B15" s="93" t="s">
        <v>20</v>
      </c>
      <c r="C15" s="94"/>
      <c r="D15" s="95"/>
      <c r="E15" s="18">
        <f>SUM(E11:E14)</f>
        <v>48640977.333333336</v>
      </c>
      <c r="F15" s="38" t="s">
        <v>4</v>
      </c>
      <c r="G15" s="15"/>
      <c r="H15" s="43"/>
      <c r="I15" s="2"/>
    </row>
    <row r="16" spans="1:9" x14ac:dyDescent="0.25">
      <c r="A16" s="2"/>
      <c r="B16" s="86" t="s">
        <v>21</v>
      </c>
      <c r="C16" s="87"/>
      <c r="D16" s="88"/>
      <c r="E16" s="27">
        <v>7670464.2699999996</v>
      </c>
      <c r="F16" s="23" t="s">
        <v>4</v>
      </c>
      <c r="G16" s="15"/>
      <c r="H16" s="43"/>
      <c r="I16" s="2"/>
    </row>
    <row r="17" spans="1:9" x14ac:dyDescent="0.25">
      <c r="A17" s="2"/>
      <c r="B17" s="86" t="s">
        <v>22</v>
      </c>
      <c r="C17" s="87"/>
      <c r="D17" s="88"/>
      <c r="E17" s="27">
        <v>10000</v>
      </c>
      <c r="F17" s="23" t="s">
        <v>4</v>
      </c>
      <c r="G17" s="15"/>
      <c r="H17" s="43"/>
      <c r="I17" s="2"/>
    </row>
    <row r="18" spans="1:9" x14ac:dyDescent="0.25">
      <c r="A18" s="2"/>
      <c r="B18" s="86" t="s">
        <v>23</v>
      </c>
      <c r="C18" s="87"/>
      <c r="D18" s="88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3" t="s">
        <v>24</v>
      </c>
      <c r="C19" s="94"/>
      <c r="D19" s="95"/>
      <c r="E19" s="18">
        <f>SUM(E16:E18)</f>
        <v>7680464.2699999996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3" t="s">
        <v>25</v>
      </c>
      <c r="C20" s="84"/>
      <c r="D20" s="85"/>
      <c r="E20" s="27">
        <v>-840203.09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3" t="s">
        <v>26</v>
      </c>
      <c r="C21" s="84"/>
      <c r="D21" s="85"/>
      <c r="E21" s="27">
        <v>-53407703.689999998</v>
      </c>
      <c r="F21" s="23" t="s">
        <v>4</v>
      </c>
      <c r="G21" s="15"/>
      <c r="H21" s="43"/>
      <c r="I21" s="2"/>
    </row>
    <row r="22" spans="1:9" x14ac:dyDescent="0.25">
      <c r="A22" s="2"/>
      <c r="B22" s="86" t="s">
        <v>27</v>
      </c>
      <c r="C22" s="87"/>
      <c r="D22" s="88"/>
      <c r="E22" s="27">
        <v>-1942636.56</v>
      </c>
      <c r="F22" s="23" t="s">
        <v>4</v>
      </c>
      <c r="G22" s="15"/>
      <c r="H22" s="43"/>
      <c r="I22" s="2"/>
    </row>
    <row r="23" spans="1:9" x14ac:dyDescent="0.25">
      <c r="A23" s="2"/>
      <c r="B23" s="86" t="s">
        <v>28</v>
      </c>
      <c r="C23" s="87"/>
      <c r="D23" s="88"/>
      <c r="E23" s="27">
        <v>-130900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3" t="s">
        <v>29</v>
      </c>
      <c r="C24" s="84"/>
      <c r="D24" s="85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3" t="s">
        <v>30</v>
      </c>
      <c r="C25" s="84"/>
      <c r="D25" s="85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3" t="s">
        <v>31</v>
      </c>
      <c r="C26" s="84"/>
      <c r="D26" s="85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3" t="s">
        <v>32</v>
      </c>
      <c r="C27" s="94"/>
      <c r="D27" s="95"/>
      <c r="E27" s="18">
        <f>SUM(E20:E26)</f>
        <v>-56321443.340000004</v>
      </c>
      <c r="F27" s="38" t="s">
        <v>4</v>
      </c>
      <c r="G27" s="16"/>
      <c r="H27" s="44"/>
      <c r="I27" s="2"/>
    </row>
    <row r="28" spans="1:9" x14ac:dyDescent="0.25">
      <c r="A28" s="2"/>
      <c r="B28" s="93" t="s">
        <v>33</v>
      </c>
      <c r="C28" s="94"/>
      <c r="D28" s="95"/>
      <c r="E28" s="18">
        <f>E15+E19+E27</f>
        <v>-1.736666664481163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6" t="s">
        <v>96</v>
      </c>
      <c r="C29" s="97"/>
      <c r="D29" s="97"/>
      <c r="E29" s="97"/>
      <c r="F29" s="97"/>
      <c r="G29" s="97"/>
      <c r="H29" s="98"/>
      <c r="I29" s="2"/>
    </row>
    <row r="30" spans="1:9" x14ac:dyDescent="0.25">
      <c r="A30" s="2"/>
      <c r="B30" s="93" t="s">
        <v>96</v>
      </c>
      <c r="C30" s="94"/>
      <c r="D30" s="95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4" t="s">
        <v>57</v>
      </c>
      <c r="C31" s="97"/>
      <c r="D31" s="97"/>
      <c r="E31" s="97"/>
      <c r="F31" s="97"/>
      <c r="G31" s="97"/>
      <c r="H31" s="98"/>
      <c r="I31" s="2"/>
    </row>
    <row r="32" spans="1:9" ht="30" customHeight="1" x14ac:dyDescent="0.25">
      <c r="A32" s="2"/>
      <c r="B32" s="83" t="s">
        <v>58</v>
      </c>
      <c r="C32" s="84"/>
      <c r="D32" s="85"/>
      <c r="E32" s="27">
        <v>56303707.539999999</v>
      </c>
      <c r="F32" s="23" t="s">
        <v>4</v>
      </c>
      <c r="G32" s="20"/>
      <c r="H32" s="42"/>
      <c r="I32" s="2"/>
    </row>
    <row r="33" spans="1:9" x14ac:dyDescent="0.25">
      <c r="A33" s="2"/>
      <c r="B33" s="86" t="s">
        <v>34</v>
      </c>
      <c r="C33" s="87"/>
      <c r="D33" s="88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3" t="s">
        <v>35</v>
      </c>
      <c r="C34" s="84"/>
      <c r="D34" s="85"/>
      <c r="E34" s="27">
        <v>4125454.4</v>
      </c>
      <c r="F34" s="23" t="s">
        <v>4</v>
      </c>
      <c r="G34" s="16"/>
      <c r="H34" s="44"/>
      <c r="I34" s="2"/>
    </row>
    <row r="35" spans="1:9" x14ac:dyDescent="0.25">
      <c r="A35" s="2"/>
      <c r="B35" s="93" t="s">
        <v>36</v>
      </c>
      <c r="C35" s="94"/>
      <c r="D35" s="95"/>
      <c r="E35" s="18">
        <f>SUM(E32:E34)</f>
        <v>60429161.939999998</v>
      </c>
      <c r="F35" s="38" t="s">
        <v>4</v>
      </c>
      <c r="G35" s="18">
        <f>-E35</f>
        <v>-60429161.939999998</v>
      </c>
      <c r="H35" s="38" t="s">
        <v>4</v>
      </c>
      <c r="I35" s="2"/>
    </row>
    <row r="36" spans="1:9" x14ac:dyDescent="0.25">
      <c r="A36" s="2"/>
      <c r="B36" s="96" t="s">
        <v>97</v>
      </c>
      <c r="C36" s="97"/>
      <c r="D36" s="97"/>
      <c r="E36" s="97"/>
      <c r="F36" s="98"/>
      <c r="G36" s="21">
        <f>$G$9+$G$28+$G$30+$G$35</f>
        <v>14295621.972929642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126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184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89" t="s">
        <v>116</v>
      </c>
      <c r="C9" s="91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185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133</v>
      </c>
      <c r="C11" s="97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6" t="s">
        <v>145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6" t="s">
        <v>180</v>
      </c>
      <c r="C15" s="97"/>
      <c r="D15" s="97"/>
      <c r="E15" s="97"/>
      <c r="F15" s="97"/>
      <c r="G15" s="98"/>
      <c r="H15" s="2"/>
    </row>
    <row r="16" spans="1:8" ht="15" customHeight="1" x14ac:dyDescent="0.25">
      <c r="A16" s="2"/>
      <c r="B16" s="89" t="s">
        <v>197</v>
      </c>
      <c r="C16" s="90"/>
      <c r="D16" s="90"/>
      <c r="E16" s="91"/>
      <c r="F16" s="113" t="s">
        <v>181</v>
      </c>
      <c r="G16" s="113"/>
      <c r="H16" s="2"/>
    </row>
    <row r="17" spans="1:8" x14ac:dyDescent="0.25">
      <c r="A17" s="2"/>
      <c r="B17" s="86" t="s">
        <v>193</v>
      </c>
      <c r="C17" s="87"/>
      <c r="D17" s="87"/>
      <c r="E17" s="88"/>
      <c r="F17" s="27">
        <v>0</v>
      </c>
      <c r="G17" s="23" t="s">
        <v>4</v>
      </c>
      <c r="H17" s="2"/>
    </row>
    <row r="18" spans="1:8" x14ac:dyDescent="0.25">
      <c r="A18" s="2"/>
      <c r="B18" s="96" t="s">
        <v>182</v>
      </c>
      <c r="C18" s="97"/>
      <c r="D18" s="97"/>
      <c r="E18" s="98"/>
      <c r="F18" s="21">
        <f>SUM(F17:F17)</f>
        <v>0</v>
      </c>
      <c r="G18" s="22" t="s">
        <v>4</v>
      </c>
      <c r="H18" s="2"/>
    </row>
    <row r="19" spans="1:8" x14ac:dyDescent="0.25">
      <c r="A19" s="2"/>
      <c r="B19" s="96" t="s">
        <v>183</v>
      </c>
      <c r="C19" s="97"/>
      <c r="D19" s="97"/>
      <c r="E19" s="98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117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192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128</v>
      </c>
      <c r="C11" s="98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6" t="s">
        <v>144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109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ht="15" customHeight="1" x14ac:dyDescent="0.25">
      <c r="A9" s="2"/>
      <c r="B9" s="83" t="s">
        <v>60</v>
      </c>
      <c r="C9" s="84"/>
      <c r="D9" s="85"/>
      <c r="E9" s="8">
        <f>'Fane 3. Korrigeret grundlag'!G12</f>
        <v>80909635.086633936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87"/>
      <c r="D10" s="88"/>
      <c r="E10" s="12">
        <f>'Fane 3. Korrigeret grundlag'!G11</f>
        <v>1786332.3223000031</v>
      </c>
      <c r="F10" s="9" t="s">
        <v>4</v>
      </c>
      <c r="G10" s="13"/>
      <c r="H10" s="14"/>
      <c r="I10" s="2"/>
    </row>
    <row r="11" spans="1:9" x14ac:dyDescent="0.25">
      <c r="A11" s="2"/>
      <c r="B11" s="92" t="s">
        <v>121</v>
      </c>
      <c r="C11" s="87"/>
      <c r="D11" s="88"/>
      <c r="E11" s="12">
        <f>'Fane 4. Ikke-påvirkelige omk.'!G19</f>
        <v>746346.93415700004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195</v>
      </c>
      <c r="C12" s="49"/>
      <c r="D12" s="50"/>
      <c r="E12" s="12">
        <f>'Fane 5. Individuelt eff.krav'!G10</f>
        <v>-985268.14480489166</v>
      </c>
      <c r="F12" s="9" t="s">
        <v>4</v>
      </c>
      <c r="G12" s="13"/>
      <c r="H12" s="14"/>
      <c r="I12" s="2"/>
    </row>
    <row r="13" spans="1:9" x14ac:dyDescent="0.25">
      <c r="A13" s="2"/>
      <c r="B13" s="83" t="s">
        <v>129</v>
      </c>
      <c r="C13" s="84"/>
      <c r="D13" s="85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3" t="s">
        <v>130</v>
      </c>
      <c r="C14" s="84"/>
      <c r="D14" s="85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3" t="s">
        <v>180</v>
      </c>
      <c r="C15" s="84"/>
      <c r="D15" s="85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3" t="s">
        <v>131</v>
      </c>
      <c r="C16" s="84"/>
      <c r="D16" s="85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3" t="s">
        <v>132</v>
      </c>
      <c r="C17" s="84"/>
      <c r="D17" s="85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92" t="s">
        <v>123</v>
      </c>
      <c r="C19" s="87"/>
      <c r="D19" s="88"/>
      <c r="E19" s="12">
        <f>SUM(E9,E11:E17)*(E18/100)</f>
        <v>1411737.4928297559</v>
      </c>
      <c r="F19" s="9" t="s">
        <v>4</v>
      </c>
      <c r="G19" s="13"/>
      <c r="H19" s="14"/>
      <c r="I19" s="2"/>
    </row>
    <row r="20" spans="1:9" x14ac:dyDescent="0.25">
      <c r="A20" s="2"/>
      <c r="B20" s="86" t="s">
        <v>15</v>
      </c>
      <c r="C20" s="87"/>
      <c r="D20" s="88"/>
      <c r="E20" s="12">
        <f>'Fane 5. Individuelt eff.krav'!G12</f>
        <v>0</v>
      </c>
      <c r="F20" s="9" t="s">
        <v>4</v>
      </c>
      <c r="G20" s="15"/>
      <c r="H20" s="14"/>
      <c r="I20" s="2"/>
    </row>
    <row r="21" spans="1:9" x14ac:dyDescent="0.25">
      <c r="A21" s="2"/>
      <c r="B21" s="86" t="s">
        <v>16</v>
      </c>
      <c r="C21" s="87"/>
      <c r="D21" s="88"/>
      <c r="E21" s="12">
        <f>'Fane 6. Generelt eff.krav'!G17</f>
        <v>1464527.3843285055</v>
      </c>
      <c r="F21" s="9" t="s">
        <v>4</v>
      </c>
      <c r="G21" s="16"/>
      <c r="H21" s="17"/>
      <c r="I21" s="2"/>
    </row>
    <row r="22" spans="1:9" x14ac:dyDescent="0.25">
      <c r="A22" s="2"/>
      <c r="B22" s="93" t="s">
        <v>186</v>
      </c>
      <c r="C22" s="94"/>
      <c r="D22" s="95"/>
      <c r="E22" s="18">
        <f>SUM(E9,E11:E17,E19)-SUM(E20:E21)</f>
        <v>80617923.984487295</v>
      </c>
      <c r="F22" s="19" t="s">
        <v>4</v>
      </c>
      <c r="G22" s="18">
        <f>E22</f>
        <v>80617923.984487295</v>
      </c>
      <c r="H22" s="19" t="s">
        <v>4</v>
      </c>
      <c r="I22" s="2"/>
    </row>
    <row r="23" spans="1:9" x14ac:dyDescent="0.25">
      <c r="A23" s="2"/>
      <c r="B23" s="96" t="s">
        <v>17</v>
      </c>
      <c r="C23" s="97"/>
      <c r="D23" s="97"/>
      <c r="E23" s="97"/>
      <c r="F23" s="97"/>
      <c r="G23" s="97"/>
      <c r="H23" s="98"/>
      <c r="I23" s="2"/>
    </row>
    <row r="24" spans="1:9" x14ac:dyDescent="0.25">
      <c r="A24" s="2"/>
      <c r="B24" s="89" t="s">
        <v>55</v>
      </c>
      <c r="C24" s="90"/>
      <c r="D24" s="91"/>
      <c r="E24" s="18">
        <f>'Fane 7. Hist. over el. underdæk'!G13</f>
        <v>-3157617.5855379179</v>
      </c>
      <c r="F24" s="19" t="s">
        <v>4</v>
      </c>
      <c r="G24" s="18">
        <f>E24</f>
        <v>-3157617.5855379179</v>
      </c>
      <c r="H24" s="19" t="s">
        <v>4</v>
      </c>
      <c r="I24" s="2"/>
    </row>
    <row r="25" spans="1:9" x14ac:dyDescent="0.25">
      <c r="A25" s="2"/>
      <c r="B25" s="96" t="s">
        <v>98</v>
      </c>
      <c r="C25" s="97"/>
      <c r="D25" s="97"/>
      <c r="E25" s="97"/>
      <c r="F25" s="97"/>
      <c r="G25" s="97"/>
      <c r="H25" s="98"/>
      <c r="I25" s="2"/>
    </row>
    <row r="26" spans="1:9" x14ac:dyDescent="0.25">
      <c r="A26" s="2"/>
      <c r="B26" s="83" t="s">
        <v>105</v>
      </c>
      <c r="C26" s="84"/>
      <c r="D26" s="85"/>
      <c r="E26" s="12">
        <f>'Fane 9. Korrektion af PL2016'!G11</f>
        <v>969140</v>
      </c>
      <c r="F26" s="9" t="s">
        <v>4</v>
      </c>
      <c r="G26" s="20"/>
      <c r="H26" s="11"/>
      <c r="I26" s="2"/>
    </row>
    <row r="27" spans="1:9" x14ac:dyDescent="0.25">
      <c r="A27" s="2"/>
      <c r="B27" s="83" t="s">
        <v>99</v>
      </c>
      <c r="C27" s="84"/>
      <c r="D27" s="85"/>
      <c r="E27" s="12">
        <f>'Fane 9. Korrektion af PL2016'!G17</f>
        <v>248266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3" t="s">
        <v>100</v>
      </c>
      <c r="C28" s="84"/>
      <c r="D28" s="85"/>
      <c r="E28" s="12">
        <f>'Fane 9. Korrektion af PL2016'!G23</f>
        <v>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3" t="s">
        <v>101</v>
      </c>
      <c r="C29" s="84"/>
      <c r="D29" s="85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3" t="s">
        <v>102</v>
      </c>
      <c r="C30" s="84"/>
      <c r="D30" s="85"/>
      <c r="E30" s="12">
        <f>'Fane 9. Korrektion af PL2016'!G35</f>
        <v>756337.91686666664</v>
      </c>
      <c r="F30" s="9" t="s">
        <v>4</v>
      </c>
      <c r="G30" s="15"/>
      <c r="H30" s="14"/>
      <c r="I30" s="2"/>
    </row>
    <row r="31" spans="1:9" x14ac:dyDescent="0.25">
      <c r="A31" s="2"/>
      <c r="B31" s="89" t="s">
        <v>103</v>
      </c>
      <c r="C31" s="90"/>
      <c r="D31" s="91"/>
      <c r="E31" s="18">
        <f>SUM(E26:E30)</f>
        <v>1973743.9168666666</v>
      </c>
      <c r="F31" s="19" t="s">
        <v>4</v>
      </c>
      <c r="G31" s="18">
        <f>E31</f>
        <v>1973743.9168666666</v>
      </c>
      <c r="H31" s="19" t="s">
        <v>4</v>
      </c>
      <c r="I31" s="2"/>
    </row>
    <row r="32" spans="1:9" x14ac:dyDescent="0.25">
      <c r="A32" s="2"/>
      <c r="B32" s="96" t="s">
        <v>18</v>
      </c>
      <c r="C32" s="97"/>
      <c r="D32" s="97"/>
      <c r="E32" s="97"/>
      <c r="F32" s="97"/>
      <c r="G32" s="97"/>
      <c r="H32" s="98"/>
      <c r="I32" s="2"/>
    </row>
    <row r="33" spans="1:9" x14ac:dyDescent="0.25">
      <c r="A33" s="2"/>
      <c r="B33" s="89" t="s">
        <v>104</v>
      </c>
      <c r="C33" s="90"/>
      <c r="D33" s="91"/>
      <c r="E33" s="18">
        <f>'Fane 10. Kontrol af PL2016'!G36</f>
        <v>14295621.972929642</v>
      </c>
      <c r="F33" s="19" t="s">
        <v>4</v>
      </c>
      <c r="G33" s="18">
        <f>E33</f>
        <v>14295621.972929642</v>
      </c>
      <c r="H33" s="19" t="s">
        <v>4</v>
      </c>
      <c r="I33" s="2"/>
    </row>
    <row r="34" spans="1:9" x14ac:dyDescent="0.25">
      <c r="A34" s="2"/>
      <c r="B34" s="96" t="s">
        <v>62</v>
      </c>
      <c r="C34" s="97"/>
      <c r="D34" s="97"/>
      <c r="E34" s="97"/>
      <c r="F34" s="98"/>
      <c r="G34" s="21">
        <f>G22+G24+G31+G33</f>
        <v>93729672.288745686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3" t="s">
        <v>106</v>
      </c>
      <c r="C9" s="84"/>
      <c r="D9" s="85"/>
      <c r="E9" s="8">
        <f>'Fane 2.1. Økonomisk ramme 2018'!G22</f>
        <v>80617923.984487295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99"/>
      <c r="D10" s="100"/>
      <c r="E10" s="12">
        <f>(SUM('Fane 2.1. Økonomisk ramme 2018'!E10:E11,'Fane 2.1. Økonomisk ramme 2018'!E15))*(1+'Fane 2.1. Økonomisk ramme 2018'!E18/100)</f>
        <v>2577001.143445001</v>
      </c>
      <c r="F10" s="9" t="s">
        <v>4</v>
      </c>
      <c r="G10" s="13"/>
      <c r="H10" s="14"/>
      <c r="I10" s="2"/>
    </row>
    <row r="11" spans="1:9" x14ac:dyDescent="0.25">
      <c r="A11" s="2"/>
      <c r="B11" s="86" t="s">
        <v>61</v>
      </c>
      <c r="C11" s="87"/>
      <c r="D11" s="88"/>
      <c r="E11" s="12">
        <f>$E$9*'Fane 2.1. Økonomisk ramme 2018'!E18/100</f>
        <v>1410813.6697285278</v>
      </c>
      <c r="F11" s="9" t="s">
        <v>4</v>
      </c>
      <c r="G11" s="15"/>
      <c r="H11" s="14"/>
      <c r="I11" s="2"/>
    </row>
    <row r="12" spans="1:9" x14ac:dyDescent="0.25">
      <c r="A12" s="2"/>
      <c r="B12" s="86" t="s">
        <v>15</v>
      </c>
      <c r="C12" s="87"/>
      <c r="D12" s="88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1462615.1748671865</v>
      </c>
      <c r="F13" s="9" t="s">
        <v>4</v>
      </c>
      <c r="G13" s="16"/>
      <c r="H13" s="17"/>
      <c r="I13" s="2"/>
    </row>
    <row r="14" spans="1:9" x14ac:dyDescent="0.25">
      <c r="A14" s="2"/>
      <c r="B14" s="93" t="s">
        <v>186</v>
      </c>
      <c r="C14" s="94"/>
      <c r="D14" s="95"/>
      <c r="E14" s="18">
        <f>$E$9+$E$11-$E$12-$E$13</f>
        <v>80566122.479348645</v>
      </c>
      <c r="F14" s="19" t="s">
        <v>4</v>
      </c>
      <c r="G14" s="18">
        <f>E14</f>
        <v>80566122.479348645</v>
      </c>
      <c r="H14" s="19" t="s">
        <v>4</v>
      </c>
      <c r="I14" s="2"/>
    </row>
    <row r="15" spans="1:9" x14ac:dyDescent="0.25">
      <c r="A15" s="2"/>
      <c r="B15" s="96" t="s">
        <v>17</v>
      </c>
      <c r="C15" s="97"/>
      <c r="D15" s="97"/>
      <c r="E15" s="97"/>
      <c r="F15" s="97"/>
      <c r="G15" s="97"/>
      <c r="H15" s="98"/>
      <c r="I15" s="2"/>
    </row>
    <row r="16" spans="1:9" ht="15" customHeight="1" x14ac:dyDescent="0.25">
      <c r="A16" s="2"/>
      <c r="B16" s="89" t="s">
        <v>55</v>
      </c>
      <c r="C16" s="90"/>
      <c r="D16" s="91"/>
      <c r="E16" s="18">
        <f>IF('Fane 7. Hist. over el. underdæk'!$G$12&gt;1,'Fane 7. Hist. over el. underdæk'!$G$13,0)</f>
        <v>-3157617.5855379179</v>
      </c>
      <c r="F16" s="19" t="s">
        <v>4</v>
      </c>
      <c r="G16" s="18">
        <f>E16</f>
        <v>-3157617.5855379179</v>
      </c>
      <c r="H16" s="19" t="s">
        <v>4</v>
      </c>
      <c r="I16" s="2"/>
    </row>
    <row r="17" spans="1:9" x14ac:dyDescent="0.25">
      <c r="A17" s="2"/>
      <c r="B17" s="96" t="s">
        <v>107</v>
      </c>
      <c r="C17" s="97"/>
      <c r="D17" s="97"/>
      <c r="E17" s="97"/>
      <c r="F17" s="98"/>
      <c r="G17" s="21">
        <f>G14+G16</f>
        <v>77408504.893810719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141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110</v>
      </c>
      <c r="C9" s="87"/>
      <c r="D9" s="87"/>
      <c r="E9" s="87"/>
      <c r="F9" s="88"/>
      <c r="G9" s="27">
        <v>24975927.192255393</v>
      </c>
      <c r="H9" s="23" t="s">
        <v>4</v>
      </c>
      <c r="I9" s="2"/>
    </row>
    <row r="10" spans="1:9" x14ac:dyDescent="0.25">
      <c r="A10" s="2"/>
      <c r="B10" s="86" t="s">
        <v>111</v>
      </c>
      <c r="C10" s="87"/>
      <c r="D10" s="87"/>
      <c r="E10" s="87"/>
      <c r="F10" s="88"/>
      <c r="G10" s="27">
        <v>54147375.572078548</v>
      </c>
      <c r="H10" s="23" t="s">
        <v>4</v>
      </c>
      <c r="I10" s="2"/>
    </row>
    <row r="11" spans="1:9" x14ac:dyDescent="0.25">
      <c r="A11" s="2"/>
      <c r="B11" s="86" t="s">
        <v>138</v>
      </c>
      <c r="C11" s="87"/>
      <c r="D11" s="87"/>
      <c r="E11" s="87"/>
      <c r="F11" s="88"/>
      <c r="G11" s="27">
        <v>1786332.3223000031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80909635.086633936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113</v>
      </c>
      <c r="C8" s="97"/>
      <c r="D8" s="97"/>
      <c r="E8" s="97"/>
      <c r="F8" s="97"/>
      <c r="G8" s="97"/>
      <c r="H8" s="98"/>
      <c r="I8" s="2"/>
    </row>
    <row r="9" spans="1:9" ht="51.75" customHeight="1" x14ac:dyDescent="0.25">
      <c r="A9" s="2"/>
      <c r="B9" s="89" t="s">
        <v>115</v>
      </c>
      <c r="C9" s="90"/>
      <c r="D9" s="91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172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173</v>
      </c>
      <c r="C11" s="106"/>
      <c r="D11" s="106"/>
      <c r="E11" s="56">
        <v>117314.50439999999</v>
      </c>
      <c r="F11" s="23" t="s">
        <v>4</v>
      </c>
      <c r="G11" s="27">
        <v>126680</v>
      </c>
      <c r="H11" s="23" t="s">
        <v>4</v>
      </c>
      <c r="I11" s="2"/>
    </row>
    <row r="12" spans="1:9" x14ac:dyDescent="0.25">
      <c r="A12" s="2"/>
      <c r="B12" s="105" t="s">
        <v>174</v>
      </c>
      <c r="C12" s="106"/>
      <c r="D12" s="106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175</v>
      </c>
      <c r="C13" s="106"/>
      <c r="D13" s="106"/>
      <c r="E13" s="56">
        <v>16199.208199999999</v>
      </c>
      <c r="F13" s="23" t="s">
        <v>4</v>
      </c>
      <c r="G13" s="27">
        <v>43080</v>
      </c>
      <c r="H13" s="23" t="s">
        <v>4</v>
      </c>
      <c r="I13" s="2"/>
    </row>
    <row r="14" spans="1:9" x14ac:dyDescent="0.25">
      <c r="A14" s="2"/>
      <c r="B14" s="105" t="s">
        <v>176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177</v>
      </c>
      <c r="C15" s="106"/>
      <c r="D15" s="106"/>
      <c r="E15" s="56">
        <v>1630415.787</v>
      </c>
      <c r="F15" s="23" t="s">
        <v>4</v>
      </c>
      <c r="G15" s="27">
        <v>2327680</v>
      </c>
      <c r="H15" s="23" t="s">
        <v>4</v>
      </c>
      <c r="I15" s="2"/>
    </row>
    <row r="16" spans="1:9" x14ac:dyDescent="0.25">
      <c r="A16" s="2"/>
      <c r="B16" s="105" t="s">
        <v>178</v>
      </c>
      <c r="C16" s="106"/>
      <c r="D16" s="106"/>
      <c r="E16" s="56">
        <v>0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05" t="s">
        <v>179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6" t="s">
        <v>134</v>
      </c>
      <c r="C18" s="97"/>
      <c r="D18" s="97"/>
      <c r="E18" s="97"/>
      <c r="F18" s="98"/>
      <c r="G18" s="21">
        <f>SUM(G10:G17)-SUM(E10:E17)</f>
        <v>733510.50040000002</v>
      </c>
      <c r="H18" s="22" t="s">
        <v>4</v>
      </c>
      <c r="I18" s="2"/>
    </row>
    <row r="19" spans="1:9" x14ac:dyDescent="0.25">
      <c r="A19" s="2"/>
      <c r="B19" s="96" t="s">
        <v>135</v>
      </c>
      <c r="C19" s="97"/>
      <c r="D19" s="97"/>
      <c r="E19" s="97"/>
      <c r="F19" s="98"/>
      <c r="G19" s="21">
        <f>G18*(1+'Fane 2.1. Økonomisk ramme 2018'!E18/100)</f>
        <v>746346.93415700004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15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51</v>
      </c>
      <c r="C9" s="87"/>
      <c r="D9" s="87"/>
      <c r="E9" s="87"/>
      <c r="F9" s="88"/>
      <c r="G9" s="12">
        <f>'Fane 3. Korrigeret grundlag'!G12-'Fane 3. Korrigeret grundlag'!G11+SUM('Fane 2.1. Økonomisk ramme 2018'!E13:E14,'Fane 2.1. Økonomisk ramme 2018'!E16:E17)</f>
        <v>79123302.764333934</v>
      </c>
      <c r="H9" s="23" t="s">
        <v>4</v>
      </c>
      <c r="I9" s="2"/>
    </row>
    <row r="10" spans="1:9" x14ac:dyDescent="0.25">
      <c r="A10" s="2"/>
      <c r="B10" s="51" t="s">
        <v>195</v>
      </c>
      <c r="C10" s="49"/>
      <c r="D10" s="49"/>
      <c r="E10" s="49"/>
      <c r="F10" s="50"/>
      <c r="G10" s="12">
        <v>-985268.14480489166</v>
      </c>
      <c r="H10" s="23" t="s">
        <v>4</v>
      </c>
      <c r="I10" s="2"/>
    </row>
    <row r="11" spans="1:9" x14ac:dyDescent="0.25">
      <c r="A11" s="2"/>
      <c r="B11" s="86" t="s">
        <v>37</v>
      </c>
      <c r="C11" s="87"/>
      <c r="D11" s="87"/>
      <c r="E11" s="87"/>
      <c r="F11" s="88"/>
      <c r="G11" s="29">
        <v>0</v>
      </c>
      <c r="H11" s="23" t="s">
        <v>38</v>
      </c>
      <c r="I11" s="2"/>
    </row>
    <row r="12" spans="1:9" x14ac:dyDescent="0.25">
      <c r="A12" s="2"/>
      <c r="B12" s="96" t="s">
        <v>15</v>
      </c>
      <c r="C12" s="97"/>
      <c r="D12" s="97"/>
      <c r="E12" s="97"/>
      <c r="F12" s="98"/>
      <c r="G12" s="21">
        <f>($G$9+G10)*(1+'Fane 2.1. Økonomisk ramme 2018'!E18/100)*($G$11/100)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53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24975927.192255393</v>
      </c>
      <c r="H9" s="23" t="s">
        <v>4</v>
      </c>
      <c r="I9" s="2"/>
    </row>
    <row r="10" spans="1:9" x14ac:dyDescent="0.25">
      <c r="A10" s="2"/>
      <c r="B10" s="52" t="s">
        <v>194</v>
      </c>
      <c r="C10" s="53"/>
      <c r="D10" s="53"/>
      <c r="E10" s="53"/>
      <c r="F10" s="54"/>
      <c r="G10" s="12">
        <v>-499518.54384510784</v>
      </c>
      <c r="H10" s="23" t="s">
        <v>4</v>
      </c>
      <c r="I10" s="2"/>
    </row>
    <row r="11" spans="1:9" x14ac:dyDescent="0.25">
      <c r="A11" s="2"/>
      <c r="B11" s="86" t="s">
        <v>16</v>
      </c>
      <c r="C11" s="87"/>
      <c r="D11" s="87"/>
      <c r="E11" s="87"/>
      <c r="F11" s="88"/>
      <c r="G11" s="37">
        <f>2</f>
        <v>2</v>
      </c>
      <c r="H11" s="23" t="s">
        <v>38</v>
      </c>
      <c r="I11" s="2"/>
    </row>
    <row r="12" spans="1:9" x14ac:dyDescent="0.25">
      <c r="A12" s="2"/>
      <c r="B12" s="93" t="s">
        <v>39</v>
      </c>
      <c r="C12" s="94"/>
      <c r="D12" s="94"/>
      <c r="E12" s="94"/>
      <c r="F12" s="95"/>
      <c r="G12" s="18">
        <f>($G$9+$G$10)*(1+'Fane 2.1. Økonomisk ramme 2018'!E18/100)*$G$11/100</f>
        <v>498094.91599514929</v>
      </c>
      <c r="H12" s="38" t="s">
        <v>4</v>
      </c>
      <c r="I12" s="2"/>
    </row>
    <row r="13" spans="1:9" x14ac:dyDescent="0.25">
      <c r="A13" s="2"/>
      <c r="B13" s="86" t="s">
        <v>48</v>
      </c>
      <c r="C13" s="87"/>
      <c r="D13" s="87"/>
      <c r="E13" s="87"/>
      <c r="F13" s="88"/>
      <c r="G13" s="12">
        <f xml:space="preserve"> 'Fane 3. Korrigeret grundlag'!G10+SUM('Fane 2.1. Økonomisk ramme 2018'!E14,'Fane 2.1. Økonomisk ramme 2018'!E17)</f>
        <v>54147375.572078548</v>
      </c>
      <c r="H13" s="23" t="s">
        <v>4</v>
      </c>
      <c r="I13" s="2"/>
    </row>
    <row r="14" spans="1:9" x14ac:dyDescent="0.25">
      <c r="A14" s="2"/>
      <c r="B14" s="51" t="s">
        <v>196</v>
      </c>
      <c r="C14" s="49"/>
      <c r="D14" s="49"/>
      <c r="E14" s="49"/>
      <c r="F14" s="50"/>
      <c r="G14" s="12">
        <v>-485749.60095978389</v>
      </c>
      <c r="H14" s="23" t="s">
        <v>4</v>
      </c>
      <c r="I14" s="2"/>
    </row>
    <row r="15" spans="1:9" x14ac:dyDescent="0.25">
      <c r="A15" s="2"/>
      <c r="B15" s="86" t="s">
        <v>16</v>
      </c>
      <c r="C15" s="87"/>
      <c r="D15" s="87"/>
      <c r="E15" s="87"/>
      <c r="F15" s="88"/>
      <c r="G15" s="30">
        <v>1.77</v>
      </c>
      <c r="H15" s="23" t="s">
        <v>38</v>
      </c>
      <c r="I15" s="2"/>
    </row>
    <row r="16" spans="1:9" x14ac:dyDescent="0.25">
      <c r="A16" s="2"/>
      <c r="B16" s="93" t="s">
        <v>40</v>
      </c>
      <c r="C16" s="94"/>
      <c r="D16" s="94"/>
      <c r="E16" s="94"/>
      <c r="F16" s="95"/>
      <c r="G16" s="18">
        <f>($G$13+$G$14)*(1+'Fane 2.1. Økonomisk ramme 2018'!E18/100)*$G$15/100</f>
        <v>966432.4683333562</v>
      </c>
      <c r="H16" s="38" t="s">
        <v>4</v>
      </c>
      <c r="I16" s="2"/>
    </row>
    <row r="17" spans="1:9" x14ac:dyDescent="0.25">
      <c r="A17" s="2"/>
      <c r="B17" s="96" t="s">
        <v>52</v>
      </c>
      <c r="C17" s="97"/>
      <c r="D17" s="97"/>
      <c r="E17" s="97"/>
      <c r="F17" s="98"/>
      <c r="G17" s="21">
        <f>G12+G16</f>
        <v>1464527.3843285055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73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54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42</v>
      </c>
      <c r="C9" s="87"/>
      <c r="D9" s="87"/>
      <c r="E9" s="87"/>
      <c r="F9" s="88"/>
      <c r="G9" s="27">
        <v>-30154000</v>
      </c>
      <c r="H9" s="23" t="s">
        <v>4</v>
      </c>
      <c r="I9" s="2"/>
    </row>
    <row r="10" spans="1:9" x14ac:dyDescent="0.25">
      <c r="A10" s="2"/>
      <c r="B10" s="86" t="s">
        <v>120</v>
      </c>
      <c r="C10" s="87"/>
      <c r="D10" s="87"/>
      <c r="E10" s="87"/>
      <c r="F10" s="88"/>
      <c r="G10" s="27">
        <v>-20681147.243386246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-9472852.7566137537</v>
      </c>
      <c r="H11" s="39" t="s">
        <v>4</v>
      </c>
      <c r="I11" s="2"/>
    </row>
    <row r="12" spans="1:9" x14ac:dyDescent="0.25">
      <c r="A12" s="2"/>
      <c r="B12" s="86" t="s">
        <v>43</v>
      </c>
      <c r="C12" s="87"/>
      <c r="D12" s="87"/>
      <c r="E12" s="87"/>
      <c r="F12" s="88"/>
      <c r="G12" s="27">
        <v>3</v>
      </c>
      <c r="H12" s="23" t="s">
        <v>125</v>
      </c>
      <c r="I12" s="2"/>
    </row>
    <row r="13" spans="1:9" x14ac:dyDescent="0.25">
      <c r="A13" s="2"/>
      <c r="B13" s="96" t="s">
        <v>41</v>
      </c>
      <c r="C13" s="97"/>
      <c r="D13" s="97"/>
      <c r="E13" s="97"/>
      <c r="F13" s="98"/>
      <c r="G13" s="21">
        <f>IF(G12 = 0,0,G11/G12)</f>
        <v>-3157617.5855379179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74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75</v>
      </c>
      <c r="C8" s="97"/>
      <c r="D8" s="97"/>
      <c r="E8" s="97"/>
      <c r="F8" s="97"/>
      <c r="G8" s="98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20</v>
      </c>
      <c r="E10" s="27">
        <v>161368.22</v>
      </c>
      <c r="F10" s="12">
        <f>E10/D10</f>
        <v>8068.4110000000001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60</v>
      </c>
      <c r="E11" s="27">
        <v>1132682.5</v>
      </c>
      <c r="F11" s="12">
        <f t="shared" ref="F11:F55" si="0">E11/D11</f>
        <v>18878.041666666668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20</v>
      </c>
      <c r="E12" s="27">
        <v>48199.26</v>
      </c>
      <c r="F12" s="12">
        <f t="shared" si="0"/>
        <v>2409.9630000000002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10</v>
      </c>
      <c r="E13" s="27">
        <v>24099.62</v>
      </c>
      <c r="F13" s="12">
        <f t="shared" si="0"/>
        <v>2409.962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60</v>
      </c>
      <c r="E14" s="27">
        <v>9806366.0099999998</v>
      </c>
      <c r="F14" s="12">
        <f t="shared" si="0"/>
        <v>163439.43349999998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20</v>
      </c>
      <c r="E15" s="27">
        <v>1674257.61</v>
      </c>
      <c r="F15" s="12">
        <f t="shared" si="0"/>
        <v>83712.880499999999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10</v>
      </c>
      <c r="E16" s="27">
        <v>478359.52</v>
      </c>
      <c r="F16" s="12">
        <f t="shared" si="0"/>
        <v>47835.952000000005</v>
      </c>
      <c r="G16" s="23" t="s">
        <v>4</v>
      </c>
      <c r="H16" s="2"/>
    </row>
    <row r="17" spans="1:8" x14ac:dyDescent="0.25">
      <c r="A17" s="2"/>
      <c r="B17" s="47" t="s">
        <v>149</v>
      </c>
      <c r="C17" s="41">
        <v>2016</v>
      </c>
      <c r="D17" s="28">
        <v>10</v>
      </c>
      <c r="E17" s="27">
        <v>96000</v>
      </c>
      <c r="F17" s="12">
        <f t="shared" si="0"/>
        <v>9600</v>
      </c>
      <c r="G17" s="23" t="s">
        <v>4</v>
      </c>
      <c r="H17" s="2"/>
    </row>
    <row r="18" spans="1:8" x14ac:dyDescent="0.25">
      <c r="A18" s="2"/>
      <c r="B18" s="47" t="s">
        <v>153</v>
      </c>
      <c r="C18" s="41">
        <v>2016</v>
      </c>
      <c r="D18" s="28">
        <v>10</v>
      </c>
      <c r="E18" s="27">
        <v>83000</v>
      </c>
      <c r="F18" s="12">
        <f t="shared" si="0"/>
        <v>8300</v>
      </c>
      <c r="G18" s="23" t="s">
        <v>4</v>
      </c>
      <c r="H18" s="2"/>
    </row>
    <row r="19" spans="1:8" x14ac:dyDescent="0.25">
      <c r="A19" s="2"/>
      <c r="B19" s="47" t="s">
        <v>154</v>
      </c>
      <c r="C19" s="41">
        <v>2016</v>
      </c>
      <c r="D19" s="28">
        <v>10</v>
      </c>
      <c r="E19" s="27">
        <v>103000</v>
      </c>
      <c r="F19" s="12">
        <f t="shared" si="0"/>
        <v>10300</v>
      </c>
      <c r="G19" s="23" t="s">
        <v>4</v>
      </c>
      <c r="H19" s="2"/>
    </row>
    <row r="20" spans="1:8" x14ac:dyDescent="0.25">
      <c r="A20" s="2"/>
      <c r="B20" s="47" t="s">
        <v>155</v>
      </c>
      <c r="C20" s="41">
        <v>2016</v>
      </c>
      <c r="D20" s="28">
        <v>10</v>
      </c>
      <c r="E20" s="27">
        <v>385000</v>
      </c>
      <c r="F20" s="12">
        <f t="shared" si="0"/>
        <v>38500</v>
      </c>
      <c r="G20" s="23" t="s">
        <v>4</v>
      </c>
      <c r="H20" s="2"/>
    </row>
    <row r="21" spans="1:8" x14ac:dyDescent="0.25">
      <c r="A21" s="2"/>
      <c r="B21" s="47" t="s">
        <v>152</v>
      </c>
      <c r="C21" s="41">
        <v>2016</v>
      </c>
      <c r="D21" s="28">
        <v>10</v>
      </c>
      <c r="E21" s="27">
        <v>570393.72</v>
      </c>
      <c r="F21" s="12">
        <f t="shared" si="0"/>
        <v>57039.371999999996</v>
      </c>
      <c r="G21" s="23" t="s">
        <v>4</v>
      </c>
      <c r="H21" s="2"/>
    </row>
    <row r="22" spans="1:8" x14ac:dyDescent="0.25">
      <c r="A22" s="2"/>
      <c r="B22" s="47" t="s">
        <v>156</v>
      </c>
      <c r="C22" s="41">
        <v>2016</v>
      </c>
      <c r="D22" s="28">
        <v>10</v>
      </c>
      <c r="E22" s="27">
        <v>83000</v>
      </c>
      <c r="F22" s="12">
        <f t="shared" si="0"/>
        <v>8300</v>
      </c>
      <c r="G22" s="23" t="s">
        <v>4</v>
      </c>
      <c r="H22" s="2"/>
    </row>
    <row r="23" spans="1:8" x14ac:dyDescent="0.25">
      <c r="A23" s="2"/>
      <c r="B23" s="47" t="s">
        <v>157</v>
      </c>
      <c r="C23" s="41">
        <v>2016</v>
      </c>
      <c r="D23" s="28">
        <v>5</v>
      </c>
      <c r="E23" s="27">
        <v>276500</v>
      </c>
      <c r="F23" s="12">
        <f t="shared" si="0"/>
        <v>55300</v>
      </c>
      <c r="G23" s="23" t="s">
        <v>4</v>
      </c>
      <c r="H23" s="2"/>
    </row>
    <row r="24" spans="1:8" x14ac:dyDescent="0.25">
      <c r="A24" s="2"/>
      <c r="B24" s="47" t="s">
        <v>157</v>
      </c>
      <c r="C24" s="41">
        <v>2016</v>
      </c>
      <c r="D24" s="28">
        <v>5</v>
      </c>
      <c r="E24" s="27">
        <v>269900</v>
      </c>
      <c r="F24" s="12">
        <f t="shared" si="0"/>
        <v>53980</v>
      </c>
      <c r="G24" s="23" t="s">
        <v>4</v>
      </c>
      <c r="H24" s="2"/>
    </row>
    <row r="25" spans="1:8" x14ac:dyDescent="0.25">
      <c r="A25" s="2"/>
      <c r="B25" s="47" t="s">
        <v>158</v>
      </c>
      <c r="C25" s="41">
        <v>2016</v>
      </c>
      <c r="D25" s="28">
        <v>75</v>
      </c>
      <c r="E25" s="27">
        <v>1346041</v>
      </c>
      <c r="F25" s="12">
        <f t="shared" si="0"/>
        <v>17947.213333333333</v>
      </c>
      <c r="G25" s="23" t="s">
        <v>4</v>
      </c>
      <c r="H25" s="2"/>
    </row>
    <row r="26" spans="1:8" x14ac:dyDescent="0.25">
      <c r="A26" s="2"/>
      <c r="B26" s="47" t="s">
        <v>159</v>
      </c>
      <c r="C26" s="41">
        <v>2016</v>
      </c>
      <c r="D26" s="28">
        <v>75</v>
      </c>
      <c r="E26" s="27">
        <v>2932305</v>
      </c>
      <c r="F26" s="12">
        <f t="shared" si="0"/>
        <v>39097.4</v>
      </c>
      <c r="G26" s="23" t="s">
        <v>4</v>
      </c>
      <c r="H26" s="2"/>
    </row>
    <row r="27" spans="1:8" x14ac:dyDescent="0.25">
      <c r="A27" s="2"/>
      <c r="B27" s="47" t="s">
        <v>160</v>
      </c>
      <c r="C27" s="41">
        <v>2016</v>
      </c>
      <c r="D27" s="28">
        <v>75</v>
      </c>
      <c r="E27" s="27">
        <v>1154944</v>
      </c>
      <c r="F27" s="12">
        <f t="shared" si="0"/>
        <v>15399.253333333334</v>
      </c>
      <c r="G27" s="23" t="s">
        <v>4</v>
      </c>
      <c r="H27" s="2"/>
    </row>
    <row r="28" spans="1:8" x14ac:dyDescent="0.25">
      <c r="A28" s="2"/>
      <c r="B28" s="47" t="s">
        <v>161</v>
      </c>
      <c r="C28" s="41">
        <v>2016</v>
      </c>
      <c r="D28" s="28">
        <v>50</v>
      </c>
      <c r="E28" s="27">
        <v>2052539</v>
      </c>
      <c r="F28" s="12">
        <f t="shared" si="0"/>
        <v>41050.78</v>
      </c>
      <c r="G28" s="23" t="s">
        <v>4</v>
      </c>
      <c r="H28" s="2"/>
    </row>
    <row r="29" spans="1:8" ht="26.25" x14ac:dyDescent="0.25">
      <c r="A29" s="2"/>
      <c r="B29" s="47" t="s">
        <v>162</v>
      </c>
      <c r="C29" s="41">
        <v>2016</v>
      </c>
      <c r="D29" s="28">
        <v>50</v>
      </c>
      <c r="E29" s="27">
        <v>268750</v>
      </c>
      <c r="F29" s="12">
        <f t="shared" si="0"/>
        <v>5375</v>
      </c>
      <c r="G29" s="23" t="s">
        <v>4</v>
      </c>
      <c r="H29" s="2"/>
    </row>
    <row r="30" spans="1:8" ht="26.25" x14ac:dyDescent="0.25">
      <c r="A30" s="2"/>
      <c r="B30" s="47" t="s">
        <v>163</v>
      </c>
      <c r="C30" s="41">
        <v>2016</v>
      </c>
      <c r="D30" s="28">
        <v>50</v>
      </c>
      <c r="E30" s="27">
        <v>391570</v>
      </c>
      <c r="F30" s="12">
        <f t="shared" si="0"/>
        <v>7831.4</v>
      </c>
      <c r="G30" s="23" t="s">
        <v>4</v>
      </c>
      <c r="H30" s="2"/>
    </row>
    <row r="31" spans="1:8" x14ac:dyDescent="0.25">
      <c r="A31" s="2"/>
      <c r="B31" s="47" t="s">
        <v>164</v>
      </c>
      <c r="C31" s="41">
        <v>2016</v>
      </c>
      <c r="D31" s="28">
        <v>75</v>
      </c>
      <c r="E31" s="27">
        <v>5677373</v>
      </c>
      <c r="F31" s="12">
        <f t="shared" si="0"/>
        <v>75698.306666666671</v>
      </c>
      <c r="G31" s="23" t="s">
        <v>4</v>
      </c>
      <c r="H31" s="2"/>
    </row>
    <row r="32" spans="1:8" x14ac:dyDescent="0.25">
      <c r="A32" s="2"/>
      <c r="B32" s="47" t="s">
        <v>165</v>
      </c>
      <c r="C32" s="41">
        <v>2016</v>
      </c>
      <c r="D32" s="28">
        <v>75</v>
      </c>
      <c r="E32" s="27">
        <v>1118878</v>
      </c>
      <c r="F32" s="12">
        <f t="shared" si="0"/>
        <v>14918.373333333333</v>
      </c>
      <c r="G32" s="23" t="s">
        <v>4</v>
      </c>
      <c r="H32" s="2"/>
    </row>
    <row r="33" spans="1:8" ht="26.25" x14ac:dyDescent="0.25">
      <c r="A33" s="2"/>
      <c r="B33" s="47" t="s">
        <v>166</v>
      </c>
      <c r="C33" s="41">
        <v>2016</v>
      </c>
      <c r="D33" s="28">
        <v>50</v>
      </c>
      <c r="E33" s="27">
        <v>3922007</v>
      </c>
      <c r="F33" s="12">
        <f t="shared" si="0"/>
        <v>78440.14</v>
      </c>
      <c r="G33" s="23" t="s">
        <v>4</v>
      </c>
      <c r="H33" s="2"/>
    </row>
    <row r="34" spans="1:8" x14ac:dyDescent="0.25">
      <c r="A34" s="2"/>
      <c r="B34" s="47" t="s">
        <v>167</v>
      </c>
      <c r="C34" s="41">
        <v>2016</v>
      </c>
      <c r="D34" s="28">
        <v>20</v>
      </c>
      <c r="E34" s="27">
        <v>428467</v>
      </c>
      <c r="F34" s="12">
        <f t="shared" si="0"/>
        <v>21423.35</v>
      </c>
      <c r="G34" s="23" t="s">
        <v>4</v>
      </c>
      <c r="H34" s="2"/>
    </row>
    <row r="35" spans="1:8" x14ac:dyDescent="0.25">
      <c r="A35" s="2"/>
      <c r="B35" s="47" t="s">
        <v>168</v>
      </c>
      <c r="C35" s="41">
        <v>2016</v>
      </c>
      <c r="D35" s="28">
        <v>10</v>
      </c>
      <c r="E35" s="27">
        <v>428467</v>
      </c>
      <c r="F35" s="12">
        <f t="shared" si="0"/>
        <v>42846.7</v>
      </c>
      <c r="G35" s="23" t="s">
        <v>4</v>
      </c>
      <c r="H35" s="2"/>
    </row>
    <row r="36" spans="1:8" ht="26.25" x14ac:dyDescent="0.25">
      <c r="A36" s="2"/>
      <c r="B36" s="47" t="s">
        <v>169</v>
      </c>
      <c r="C36" s="41">
        <v>2016</v>
      </c>
      <c r="D36" s="28">
        <v>75</v>
      </c>
      <c r="E36" s="27">
        <v>85901</v>
      </c>
      <c r="F36" s="12">
        <f t="shared" si="0"/>
        <v>1145.3466666666666</v>
      </c>
      <c r="G36" s="23" t="s">
        <v>4</v>
      </c>
      <c r="H36" s="2"/>
    </row>
    <row r="37" spans="1:8" ht="26.25" x14ac:dyDescent="0.25">
      <c r="A37" s="2"/>
      <c r="B37" s="47" t="s">
        <v>169</v>
      </c>
      <c r="C37" s="41">
        <v>2016</v>
      </c>
      <c r="D37" s="28">
        <v>75</v>
      </c>
      <c r="E37" s="27">
        <v>205872</v>
      </c>
      <c r="F37" s="12">
        <f t="shared" si="0"/>
        <v>2744.96</v>
      </c>
      <c r="G37" s="23" t="s">
        <v>4</v>
      </c>
      <c r="H37" s="2"/>
    </row>
    <row r="38" spans="1:8" x14ac:dyDescent="0.25">
      <c r="A38" s="2"/>
      <c r="B38" s="47" t="s">
        <v>158</v>
      </c>
      <c r="C38" s="41">
        <v>2016</v>
      </c>
      <c r="D38" s="28">
        <v>75</v>
      </c>
      <c r="E38" s="27">
        <v>1459330</v>
      </c>
      <c r="F38" s="12">
        <f t="shared" si="0"/>
        <v>19457.733333333334</v>
      </c>
      <c r="G38" s="23" t="s">
        <v>4</v>
      </c>
      <c r="H38" s="2"/>
    </row>
    <row r="39" spans="1:8" x14ac:dyDescent="0.25">
      <c r="A39" s="2"/>
      <c r="B39" s="47" t="s">
        <v>159</v>
      </c>
      <c r="C39" s="41">
        <v>2016</v>
      </c>
      <c r="D39" s="28">
        <v>75</v>
      </c>
      <c r="E39" s="27">
        <v>1640900</v>
      </c>
      <c r="F39" s="12">
        <f t="shared" si="0"/>
        <v>21878.666666666668</v>
      </c>
      <c r="G39" s="23" t="s">
        <v>4</v>
      </c>
      <c r="H39" s="2"/>
    </row>
    <row r="40" spans="1:8" x14ac:dyDescent="0.25">
      <c r="A40" s="2"/>
      <c r="B40" s="47" t="s">
        <v>160</v>
      </c>
      <c r="C40" s="41">
        <v>2016</v>
      </c>
      <c r="D40" s="28">
        <v>75</v>
      </c>
      <c r="E40" s="27">
        <v>660517</v>
      </c>
      <c r="F40" s="12">
        <f t="shared" si="0"/>
        <v>8806.8933333333334</v>
      </c>
      <c r="G40" s="23" t="s">
        <v>4</v>
      </c>
      <c r="H40" s="2"/>
    </row>
    <row r="41" spans="1:8" x14ac:dyDescent="0.25">
      <c r="A41" s="2"/>
      <c r="B41" s="47" t="s">
        <v>170</v>
      </c>
      <c r="C41" s="41">
        <v>2016</v>
      </c>
      <c r="D41" s="28">
        <v>75</v>
      </c>
      <c r="E41" s="27">
        <v>191392</v>
      </c>
      <c r="F41" s="12">
        <f t="shared" si="0"/>
        <v>2551.8933333333334</v>
      </c>
      <c r="G41" s="23" t="s">
        <v>4</v>
      </c>
      <c r="H41" s="2"/>
    </row>
    <row r="42" spans="1:8" x14ac:dyDescent="0.25">
      <c r="A42" s="2"/>
      <c r="B42" s="47" t="s">
        <v>164</v>
      </c>
      <c r="C42" s="41">
        <v>2016</v>
      </c>
      <c r="D42" s="28">
        <v>75</v>
      </c>
      <c r="E42" s="27">
        <v>2991194</v>
      </c>
      <c r="F42" s="12">
        <f t="shared" si="0"/>
        <v>39882.58666666667</v>
      </c>
      <c r="G42" s="23" t="s">
        <v>4</v>
      </c>
      <c r="H42" s="2"/>
    </row>
    <row r="43" spans="1:8" x14ac:dyDescent="0.25">
      <c r="A43" s="2"/>
      <c r="B43" s="47" t="s">
        <v>165</v>
      </c>
      <c r="C43" s="41">
        <v>2016</v>
      </c>
      <c r="D43" s="28">
        <v>75</v>
      </c>
      <c r="E43" s="27">
        <v>471938</v>
      </c>
      <c r="F43" s="12">
        <f t="shared" si="0"/>
        <v>6292.5066666666671</v>
      </c>
      <c r="G43" s="23" t="s">
        <v>4</v>
      </c>
      <c r="H43" s="2"/>
    </row>
    <row r="44" spans="1:8" ht="26.25" x14ac:dyDescent="0.25">
      <c r="A44" s="2"/>
      <c r="B44" s="47" t="s">
        <v>166</v>
      </c>
      <c r="C44" s="41">
        <v>2016</v>
      </c>
      <c r="D44" s="28">
        <v>50</v>
      </c>
      <c r="E44" s="27">
        <v>1459354</v>
      </c>
      <c r="F44" s="12">
        <f t="shared" si="0"/>
        <v>29187.08</v>
      </c>
      <c r="G44" s="23" t="s">
        <v>4</v>
      </c>
      <c r="H44" s="2"/>
    </row>
    <row r="45" spans="1:8" ht="26.25" x14ac:dyDescent="0.25">
      <c r="A45" s="2"/>
      <c r="B45" s="47" t="s">
        <v>171</v>
      </c>
      <c r="C45" s="41">
        <v>2016</v>
      </c>
      <c r="D45" s="28">
        <v>20</v>
      </c>
      <c r="E45" s="27">
        <v>90589</v>
      </c>
      <c r="F45" s="12">
        <f t="shared" si="0"/>
        <v>4529.45</v>
      </c>
      <c r="G45" s="23" t="s">
        <v>4</v>
      </c>
      <c r="H45" s="2"/>
    </row>
    <row r="46" spans="1:8" ht="26.25" x14ac:dyDescent="0.25">
      <c r="A46" s="2"/>
      <c r="B46" s="47" t="s">
        <v>169</v>
      </c>
      <c r="C46" s="41">
        <v>2016</v>
      </c>
      <c r="D46" s="28">
        <v>75</v>
      </c>
      <c r="E46" s="27">
        <v>44171</v>
      </c>
      <c r="F46" s="12">
        <f t="shared" si="0"/>
        <v>588.94666666666672</v>
      </c>
      <c r="G46" s="23" t="s">
        <v>4</v>
      </c>
      <c r="H46" s="2"/>
    </row>
    <row r="47" spans="1:8" x14ac:dyDescent="0.25">
      <c r="A47" s="2"/>
      <c r="B47" s="47" t="s">
        <v>158</v>
      </c>
      <c r="C47" s="41">
        <v>2016</v>
      </c>
      <c r="D47" s="28">
        <v>75</v>
      </c>
      <c r="E47" s="27">
        <v>3322113.13</v>
      </c>
      <c r="F47" s="12">
        <f t="shared" si="0"/>
        <v>44294.841733333335</v>
      </c>
      <c r="G47" s="23" t="s">
        <v>4</v>
      </c>
      <c r="H47" s="2"/>
    </row>
    <row r="48" spans="1:8" x14ac:dyDescent="0.25">
      <c r="A48" s="2"/>
      <c r="B48" s="47" t="s">
        <v>159</v>
      </c>
      <c r="C48" s="41">
        <v>2016</v>
      </c>
      <c r="D48" s="28">
        <v>75</v>
      </c>
      <c r="E48" s="27">
        <v>3735451.43</v>
      </c>
      <c r="F48" s="12">
        <f t="shared" si="0"/>
        <v>49806.019066666668</v>
      </c>
      <c r="G48" s="23" t="s">
        <v>4</v>
      </c>
      <c r="H48" s="2"/>
    </row>
    <row r="49" spans="1:8" x14ac:dyDescent="0.25">
      <c r="A49" s="2"/>
      <c r="B49" s="47" t="s">
        <v>160</v>
      </c>
      <c r="C49" s="41">
        <v>2016</v>
      </c>
      <c r="D49" s="28">
        <v>75</v>
      </c>
      <c r="E49" s="27">
        <v>1503643.86</v>
      </c>
      <c r="F49" s="12">
        <f t="shared" si="0"/>
        <v>20048.584800000001</v>
      </c>
      <c r="G49" s="23" t="s">
        <v>4</v>
      </c>
      <c r="H49" s="2"/>
    </row>
    <row r="50" spans="1:8" x14ac:dyDescent="0.25">
      <c r="A50" s="2"/>
      <c r="B50" s="47" t="s">
        <v>170</v>
      </c>
      <c r="C50" s="41">
        <v>2016</v>
      </c>
      <c r="D50" s="28">
        <v>75</v>
      </c>
      <c r="E50" s="27">
        <v>435696.86</v>
      </c>
      <c r="F50" s="12">
        <f t="shared" si="0"/>
        <v>5809.2914666666666</v>
      </c>
      <c r="G50" s="23" t="s">
        <v>4</v>
      </c>
      <c r="H50" s="2"/>
    </row>
    <row r="51" spans="1:8" x14ac:dyDescent="0.25">
      <c r="A51" s="2"/>
      <c r="B51" s="47" t="s">
        <v>164</v>
      </c>
      <c r="C51" s="41">
        <v>2016</v>
      </c>
      <c r="D51" s="28">
        <v>75</v>
      </c>
      <c r="E51" s="27">
        <v>6809348.0099999998</v>
      </c>
      <c r="F51" s="12">
        <f t="shared" si="0"/>
        <v>90791.306799999991</v>
      </c>
      <c r="G51" s="23" t="s">
        <v>4</v>
      </c>
      <c r="H51" s="2"/>
    </row>
    <row r="52" spans="1:8" x14ac:dyDescent="0.25">
      <c r="A52" s="2"/>
      <c r="B52" s="47" t="s">
        <v>165</v>
      </c>
      <c r="C52" s="41">
        <v>2016</v>
      </c>
      <c r="D52" s="28">
        <v>75</v>
      </c>
      <c r="E52" s="27">
        <v>1074351.26</v>
      </c>
      <c r="F52" s="12">
        <f t="shared" si="0"/>
        <v>14324.683466666667</v>
      </c>
      <c r="G52" s="23" t="s">
        <v>4</v>
      </c>
      <c r="H52" s="2"/>
    </row>
    <row r="53" spans="1:8" ht="26.25" x14ac:dyDescent="0.25">
      <c r="A53" s="2"/>
      <c r="B53" s="47" t="s">
        <v>166</v>
      </c>
      <c r="C53" s="41">
        <v>2016</v>
      </c>
      <c r="D53" s="28">
        <v>50</v>
      </c>
      <c r="E53" s="27">
        <v>3322168.56</v>
      </c>
      <c r="F53" s="12">
        <f t="shared" si="0"/>
        <v>66443.371199999994</v>
      </c>
      <c r="G53" s="23" t="s">
        <v>4</v>
      </c>
      <c r="H53" s="2"/>
    </row>
    <row r="54" spans="1:8" ht="26.25" x14ac:dyDescent="0.25">
      <c r="A54" s="2"/>
      <c r="B54" s="47" t="s">
        <v>171</v>
      </c>
      <c r="C54" s="41">
        <v>2016</v>
      </c>
      <c r="D54" s="28">
        <v>20</v>
      </c>
      <c r="E54" s="27">
        <v>206222.28</v>
      </c>
      <c r="F54" s="12">
        <f t="shared" si="0"/>
        <v>10311.114</v>
      </c>
      <c r="G54" s="23" t="s">
        <v>4</v>
      </c>
      <c r="H54" s="2"/>
    </row>
    <row r="55" spans="1:8" ht="26.25" x14ac:dyDescent="0.25">
      <c r="A55" s="2"/>
      <c r="B55" s="47" t="s">
        <v>169</v>
      </c>
      <c r="C55" s="41">
        <v>2016</v>
      </c>
      <c r="D55" s="28">
        <v>75</v>
      </c>
      <c r="E55" s="27">
        <v>100553.15</v>
      </c>
      <c r="F55" s="12">
        <f t="shared" si="0"/>
        <v>1340.7086666666667</v>
      </c>
      <c r="G55" s="23" t="s">
        <v>4</v>
      </c>
      <c r="H55" s="2"/>
    </row>
    <row r="56" spans="1:8" x14ac:dyDescent="0.25">
      <c r="A56" s="2"/>
      <c r="B56" s="96" t="s">
        <v>76</v>
      </c>
      <c r="C56" s="97"/>
      <c r="D56" s="97"/>
      <c r="E56" s="98"/>
      <c r="F56" s="21">
        <f>SUM(F10:F55)</f>
        <v>1368337.9168666666</v>
      </c>
      <c r="G56" s="22" t="s">
        <v>4</v>
      </c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</sheetData>
  <sheetProtection password="DFE9" sheet="1" objects="1" scenarios="1"/>
  <mergeCells count="4">
    <mergeCell ref="B56:E5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2017-09-29T11:31:35Z</dcterms:modified>
</cp:coreProperties>
</file>