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H2" i="15" l="1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4" i="16" l="1"/>
  <c r="G3" i="16" l="1"/>
  <c r="F3" i="17"/>
  <c r="G3" i="17"/>
  <c r="D4" i="16" l="1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5" i="16"/>
  <c r="D6" i="16"/>
  <c r="J3" i="24"/>
  <c r="M3" i="24" s="1"/>
  <c r="F3" i="16" l="1"/>
  <c r="B9" i="12"/>
  <c r="B10" i="12" s="1"/>
  <c r="H3" i="17"/>
  <c r="B4" i="12" s="1"/>
  <c r="I2" i="15"/>
  <c r="K2" i="15" l="1"/>
  <c r="B2" i="12" s="1"/>
  <c r="H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<sst xmlns="http://schemas.openxmlformats.org/spreadsheetml/2006/main" count="112" uniqueCount="75">
  <si>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</si>
  <si>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</si>
  <si>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</si>
  <si>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</si>
  <si>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</si>
  <si>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</si>
  <si>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</si>
  <si>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</si>
  <si>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</si>
  <si>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</si>
  <si>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</si>
  <si>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</si>
  <si>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</si>
  <si>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</si>
  <si>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</si>
  <si>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</si>
  <si>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</si>
  <si>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</si>
  <si>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</si>
  <si>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</si>
  <si>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</si>
  <si>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</si>
  <si>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</si>
  <si>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</si>
  <si>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</si>
  <si>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</si>
  <si>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</si>
  <si>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</si>
  <si>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</si>
  <si>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</si>
  <si>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</si>
  <si>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</si>
  <si>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</si>
  <si>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</si>
  <si>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</si>
  <si>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</si>
  <si>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</si>
  <si>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</si>
  <si>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</si>
  <si>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</si>
  <si>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</si>
  <si>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</si>
  <si>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</si>
  <si>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</si>
  <si>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</si>
  <si>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</si>
  <si>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</si>
  <si>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</si>
  <si>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</si>
  <si>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Grundvandssamarbejde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</si>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</sst>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\(#,##0.00\);#,##0.00_)"/>
    <numFmt numFmtId="169" formatCode="#,##0_);\(#,##0\);0_);@"/>
    <numFmt numFmtId="170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69" fontId="26" fillId="0" borderId="0"/>
    <xf numFmtId="16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20" fillId="0" borderId="16" applyFill="0" applyAlignment="0" applyProtection="0"/>
    <xf numFmtId="166" fontId="20" fillId="0" borderId="16" applyFill="0" applyAlignment="0" applyProtection="0"/>
    <xf numFmtId="167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6" fillId="45" borderId="14" applyNumberFormat="0" applyFont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43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4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30" applyNumberFormat="1" applyFont="1"/>
    <xf numFmtId="164" fontId="0" fillId="0" borderId="0" xfId="27330" applyNumberFormat="1" applyFont="1" applyAlignment="1"/>
    <xf numFmtId="164" fontId="3" fillId="0" borderId="1" xfId="27330" applyNumberFormat="1" applyFont="1" applyBorder="1"/>
    <xf numFmtId="164" fontId="0" fillId="0" borderId="0" xfId="27330" applyNumberFormat="1" applyFont="1" applyBorder="1"/>
    <xf numFmtId="164" fontId="0" fillId="0" borderId="18" xfId="27330" applyNumberFormat="1" applyFont="1" applyBorder="1"/>
    <xf numFmtId="164" fontId="0" fillId="0" borderId="23" xfId="27330" applyNumberFormat="1" applyFont="1" applyFill="1" applyBorder="1"/>
    <xf numFmtId="164" fontId="0" fillId="0" borderId="0" xfId="27330" applyNumberFormat="1" applyFont="1" applyFill="1" applyBorder="1"/>
    <xf numFmtId="164" fontId="0" fillId="0" borderId="18" xfId="27330" applyNumberFormat="1" applyFont="1" applyFill="1" applyBorder="1"/>
    <xf numFmtId="164" fontId="3" fillId="0" borderId="0" xfId="27330" applyNumberFormat="1" applyFont="1" applyFill="1" applyBorder="1"/>
    <xf numFmtId="164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4" fontId="3" fillId="0" borderId="2" xfId="27330" applyNumberFormat="1" applyFont="1" applyBorder="1"/>
    <xf numFmtId="164" fontId="5" fillId="0" borderId="0" xfId="27330" applyNumberFormat="1" applyFont="1"/>
    <xf numFmtId="164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4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4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4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4" fontId="0" fillId="0" borderId="0" xfId="27330" applyNumberFormat="1" applyFont="1" applyBorder="1" applyAlignment="1">
      <alignment wrapText="1"/>
    </xf>
    <xf numFmtId="164" fontId="0" fillId="0" borderId="0" xfId="0" applyNumberFormat="1"/>
    <xf numFmtId="164" fontId="3" fillId="0" borderId="21" xfId="0" applyNumberFormat="1" applyFont="1" applyFill="1" applyBorder="1"/>
    <xf numFmtId="164" fontId="3" fillId="0" borderId="21" xfId="0" applyNumberFormat="1" applyFont="1" applyFill="1" applyBorder="1" applyAlignment="1">
      <alignment horizontal="left"/>
    </xf>
    <xf numFmtId="164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861931.79119999998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548900.809706687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16003.018334666667</v>
      </c>
      <c r="C4" t="s">
        <v>11</v>
      </c>
    </row>
    <row r="5" spans="1:3" s="26" customFormat="1" x14ac:dyDescent="0.25">
      <c r="A5" s="3" t="s">
        <v>12</v>
      </c>
      <c r="B5" s="47">
        <f>SUM(B2:B4)</f>
        <v>1426835.6192413536</v>
      </c>
      <c r="C5" s="61" t="s">
        <v>11</v>
      </c>
    </row>
    <row r="6" spans="1:3" x14ac:dyDescent="0.25">
      <c r="A6" s="46" t="s">
        <v>0</v>
      </c>
      <c r="B6" s="38">
        <f>Investeringer!E3</f>
        <v>589869.44045637269</v>
      </c>
      <c r="C6" s="23" t="s">
        <v>11</v>
      </c>
    </row>
    <row r="7" spans="1:3" x14ac:dyDescent="0.25">
      <c r="A7" s="4" t="s">
        <v>1</v>
      </c>
      <c r="B7" s="35">
        <f>Investeringer!F3</f>
        <v>56813</v>
      </c>
      <c r="C7" t="s">
        <v>11</v>
      </c>
    </row>
    <row r="8" spans="1:3" x14ac:dyDescent="0.25">
      <c r="A8" s="4" t="s">
        <v>2</v>
      </c>
      <c r="B8" s="35">
        <f>Investeringer!G3</f>
        <v>5567.593522050458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44443</v>
      </c>
      <c r="C9" t="s">
        <v>11</v>
      </c>
    </row>
    <row r="10" spans="1:3" s="22" customFormat="1" x14ac:dyDescent="0.25">
      <c r="A10" s="3" t="s">
        <v>47</v>
      </c>
      <c r="B10" s="47">
        <f>SUM(B6:B9)</f>
        <v>696693.0339784231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1720792</v>
      </c>
      <c r="C11" t="s">
        <v>11</v>
      </c>
    </row>
    <row r="12" spans="1:3" s="22" customFormat="1" x14ac:dyDescent="0.25">
      <c r="A12" s="3" t="s">
        <v>68</v>
      </c>
      <c r="B12" s="47">
        <f>SUM(B11:B11)</f>
        <v>1720792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3844320.6532197767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3878349.5801187078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53</v>
      </c>
      <c r="F1" s="51" t="s">
        <v>61</v>
      </c>
      <c r="G1" s="51" t="s">
        <v>69</v>
      </c>
      <c r="H1" s="51" t="s">
        <v>62</v>
      </c>
      <c r="I1" s="51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8">
        <v>797395</v>
      </c>
      <c r="C2" s="48">
        <v>0</v>
      </c>
      <c r="D2" s="48">
        <f>B2+C2</f>
        <v>797395</v>
      </c>
      <c r="E2" s="49">
        <f>D2</f>
        <v>797395</v>
      </c>
      <c r="F2" s="48">
        <v>965531</v>
      </c>
      <c r="G2" s="48">
        <v>0</v>
      </c>
      <c r="H2" s="48">
        <f>IF(ISNUMBER(F2),F2-G2,"")</f>
        <v>965531</v>
      </c>
      <c r="I2" s="48">
        <f>AVERAGEIF(E2:E4,"&lt;&gt;0")</f>
        <v>861931.79119999998</v>
      </c>
      <c r="J2" s="48">
        <v>772045</v>
      </c>
      <c r="K2" s="72">
        <f t="shared" ref="K2" si="0">IF(OR(H2&gt;I2,H2=""),IF(OR(I2&gt;J2,J2=""),I2,J2),H2)</f>
        <v>861931.79119999998</v>
      </c>
    </row>
    <row r="3" spans="1:11" s="23" customFormat="1" x14ac:dyDescent="0.25">
      <c r="A3" s="28">
        <v>2014</v>
      </c>
      <c r="B3" s="48">
        <v>925728</v>
      </c>
      <c r="C3" s="48"/>
      <c r="D3" s="48">
        <f t="shared" ref="D3:D4" si="1">B3+C3</f>
        <v>925728</v>
      </c>
      <c r="E3" s="49">
        <f>D3*Pristalsregulering!C7</f>
        <v>926468.58239999996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/>
      <c r="C4" s="48"/>
      <c r="D4" s="48">
        <f t="shared" si="1"/>
        <v>0</v>
      </c>
      <c r="E4" s="49">
        <f>D4*Pristalsregulering!$C$6*Pristalsregulering!$C$7</f>
        <v>0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4" customWidth="1"/>
    <col min="5" max="5" width="30.7109375" style="22" customWidth="1"/>
    <col min="6" max="6" width="30.7109375" style="54" customWidth="1"/>
    <col min="7" max="7" width="30.7109375" style="22" customWidth="1"/>
    <col min="8" max="8" width="30.7109375" style="54" customWidth="1"/>
    <col min="9" max="9" width="9.140625" hidden="1" customWidth="1"/>
    <col min="10" max="28" width="0" hidden="1" customWidth="1"/>
    <col min="29" max="29" width="9.140625" hidden="1" customWidth="1"/>
    <col min="30" max="97" width="0" hidden="1" customWidth="1"/>
    <col min="98" max="98" width="9.140625" hidden="1" customWidth="1"/>
    <col min="99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39" width="0" hidden="1" customWidth="1"/>
    <col min="140" max="140" width="9.140625" hidden="1" customWidth="1"/>
    <col min="141" max="186" width="0" hidden="1" customWidth="1"/>
    <col min="187" max="187" width="9.140625" hidden="1" customWidth="1"/>
    <col min="188" max="206" width="0" hidden="1" customWidth="1"/>
    <col min="207" max="207" width="9.140625" hidden="1" customWidth="1"/>
    <col min="208" max="208" width="0" hidden="1" customWidth="1"/>
    <col min="209" max="209" width="9.140625" hidden="1" customWidth="1"/>
    <col min="210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50" width="0" hidden="1" customWidth="1"/>
    <col min="251" max="251" width="9.140625" hidden="1" customWidth="1"/>
    <col min="252" max="275" width="0" hidden="1" customWidth="1"/>
    <col min="276" max="276" width="9.140625" hidden="1" customWidth="1"/>
    <col min="277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2" t="s">
        <v>72</v>
      </c>
      <c r="E1" s="10"/>
      <c r="F1" s="73" t="s">
        <v>73</v>
      </c>
      <c r="G1" s="10"/>
      <c r="H1" s="62"/>
    </row>
    <row r="2" spans="1:8" ht="15.75" thickTop="1" x14ac:dyDescent="0.25">
      <c r="A2" s="17" t="s">
        <v>13</v>
      </c>
      <c r="B2" s="34" t="s">
        <v>22</v>
      </c>
      <c r="C2" s="34" t="s">
        <v>49</v>
      </c>
      <c r="D2" s="55" t="s">
        <v>22</v>
      </c>
      <c r="E2" s="34" t="s">
        <v>49</v>
      </c>
      <c r="F2" s="55" t="s">
        <v>22</v>
      </c>
      <c r="G2" s="34" t="s">
        <v>49</v>
      </c>
      <c r="H2" s="52" t="s">
        <v>23</v>
      </c>
    </row>
    <row r="3" spans="1:8" s="22" customFormat="1" x14ac:dyDescent="0.25">
      <c r="A3" s="28">
        <v>2016</v>
      </c>
      <c r="B3" s="71">
        <v>0</v>
      </c>
      <c r="C3" s="71">
        <v>301160</v>
      </c>
      <c r="D3" s="44">
        <f>B3/Pristalsregulering!$C$8</f>
        <v>0</v>
      </c>
      <c r="E3" s="35">
        <f>C3/Pristalsregulering!$C$8</f>
        <v>302308.77333868702</v>
      </c>
      <c r="F3" s="44">
        <f>IF(D4=0,0,AVERAGEIF(D4:D6,"&lt;&gt;0"))+D3</f>
        <v>246592.03636799997</v>
      </c>
      <c r="G3" s="38">
        <f>IF(E4=0,0,AVERAGEIF(E4:E6,"&lt;&gt;0"))+E3</f>
        <v>302308.77333868702</v>
      </c>
      <c r="H3" s="56">
        <f>SUM(F3:G3)</f>
        <v>548900.809706687</v>
      </c>
    </row>
    <row r="4" spans="1:8" x14ac:dyDescent="0.25">
      <c r="A4" s="28">
        <v>2015</v>
      </c>
      <c r="B4" s="35">
        <v>280998</v>
      </c>
      <c r="C4" s="35"/>
      <c r="D4" s="44">
        <f>B4</f>
        <v>280998</v>
      </c>
      <c r="E4" s="35">
        <f>C4</f>
        <v>0</v>
      </c>
      <c r="F4" s="44"/>
      <c r="G4" s="38"/>
      <c r="H4" s="53"/>
    </row>
    <row r="5" spans="1:8" x14ac:dyDescent="0.25">
      <c r="A5" s="28">
        <v>2014</v>
      </c>
      <c r="B5" s="35">
        <v>240296</v>
      </c>
      <c r="C5" s="35"/>
      <c r="D5" s="44">
        <f>B5*Pristalsregulering!$C$7</f>
        <v>240488.23679999998</v>
      </c>
      <c r="E5" s="35">
        <f>C5*Pristalsregulering!$C$7</f>
        <v>0</v>
      </c>
      <c r="F5" s="44"/>
      <c r="G5" s="38"/>
      <c r="H5" s="44"/>
    </row>
    <row r="6" spans="1:8" x14ac:dyDescent="0.25">
      <c r="A6" s="28">
        <v>2013</v>
      </c>
      <c r="B6" s="35">
        <v>214892</v>
      </c>
      <c r="C6" s="35"/>
      <c r="D6" s="44">
        <f>B6*Pristalsregulering!$C$7*Pristalsregulering!$C$6</f>
        <v>218289.87230399996</v>
      </c>
      <c r="E6" s="35">
        <f>C6*Pristalsregulering!$C$7*Pristalsregulering!$C$6</f>
        <v>0</v>
      </c>
      <c r="F6" s="44"/>
      <c r="G6" s="38"/>
      <c r="H6" s="44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24</v>
      </c>
      <c r="C1" s="75"/>
      <c r="D1" s="75"/>
      <c r="E1" s="76" t="s">
        <v>54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5" t="s">
        <v>27</v>
      </c>
      <c r="H2" s="6" t="s">
        <v>29</v>
      </c>
    </row>
    <row r="3" spans="1:8" x14ac:dyDescent="0.25">
      <c r="A3" s="31">
        <v>2015</v>
      </c>
      <c r="B3" s="40">
        <v>2600</v>
      </c>
      <c r="C3" s="41">
        <v>12195</v>
      </c>
      <c r="D3" s="41">
        <v>0</v>
      </c>
      <c r="E3" s="40">
        <f>B3</f>
        <v>2600</v>
      </c>
      <c r="F3" s="41">
        <f t="shared" ref="F3:G3" si="0">C3</f>
        <v>12195</v>
      </c>
      <c r="G3" s="42">
        <f t="shared" si="0"/>
        <v>0</v>
      </c>
      <c r="H3" s="43">
        <f>IF(E3=0,0,AVERAGEIF(E3:E5,"&lt;&gt;0"))+IF(F3=0,0,AVERAGEIF(F3:F5,"&lt;&gt;0"))+IF(G3=0,0,AVERAGEIF(G3:G5,"&lt;&gt;0"))</f>
        <v>16003.018334666667</v>
      </c>
    </row>
    <row r="4" spans="1:8" x14ac:dyDescent="0.25">
      <c r="A4" s="31">
        <v>2014</v>
      </c>
      <c r="B4" s="40">
        <v>2900</v>
      </c>
      <c r="C4" s="41">
        <v>9006</v>
      </c>
      <c r="D4" s="41">
        <v>0</v>
      </c>
      <c r="E4" s="40">
        <f>B4*Pristalsregulering!$C$7</f>
        <v>2902.3199999999997</v>
      </c>
      <c r="F4" s="41">
        <f>C4*Pristalsregulering!$C$7</f>
        <v>9013.2047999999995</v>
      </c>
      <c r="G4" s="42">
        <f>D4*Pristalsregulering!$C$7</f>
        <v>0</v>
      </c>
      <c r="H4" s="41"/>
    </row>
    <row r="5" spans="1:8" x14ac:dyDescent="0.25">
      <c r="A5" s="31">
        <v>2013</v>
      </c>
      <c r="B5" s="40">
        <v>10000</v>
      </c>
      <c r="C5" s="41">
        <v>10967</v>
      </c>
      <c r="D5" s="41">
        <v>0</v>
      </c>
      <c r="E5" s="40">
        <f>B5*Pristalsregulering!$C$7*Pristalsregulering!$C$6</f>
        <v>10158.119999999999</v>
      </c>
      <c r="F5" s="41">
        <f>C5*Pristalsregulering!$C$7*Pristalsregulering!$C$6</f>
        <v>11140.410203999998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77" t="s">
        <v>66</v>
      </c>
      <c r="C1" s="77"/>
      <c r="D1" s="78"/>
      <c r="E1" s="79" t="s">
        <v>67</v>
      </c>
      <c r="F1" s="79"/>
      <c r="G1" s="79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541811.33571460983</v>
      </c>
      <c r="C3" s="38">
        <v>55926</v>
      </c>
      <c r="D3" s="39">
        <v>5546.4366666666665</v>
      </c>
      <c r="E3" s="35">
        <f>B3*Pristalsregulering!C2*Pristalsregulering!C3*Pristalsregulering!C4*Pristalsregulering!C5*Pristalsregulering!C6*Pristalsregulering!C7</f>
        <v>589869.44045637269</v>
      </c>
      <c r="F3" s="35">
        <v>56813</v>
      </c>
      <c r="G3" s="35">
        <f xml:space="preserve"> D3/Pristalsregulering!$C$8</f>
        <v>5567.593522050458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40</v>
      </c>
      <c r="C1" s="75"/>
      <c r="D1" s="75"/>
      <c r="E1" s="75"/>
      <c r="F1" s="76" t="s">
        <v>55</v>
      </c>
      <c r="G1" s="77"/>
      <c r="H1" s="77"/>
      <c r="I1" s="77"/>
      <c r="J1" s="80" t="s">
        <v>29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0" t="s">
        <v>44</v>
      </c>
      <c r="F2" s="7" t="s">
        <v>41</v>
      </c>
      <c r="G2" s="7" t="s">
        <v>42</v>
      </c>
      <c r="H2" s="7" t="s">
        <v>43</v>
      </c>
      <c r="I2" s="50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4">
        <v>0</v>
      </c>
      <c r="C3" s="38">
        <v>44443</v>
      </c>
      <c r="D3" s="38">
        <v>0</v>
      </c>
      <c r="E3" s="39">
        <v>0</v>
      </c>
      <c r="F3" s="38">
        <f>B3</f>
        <v>0</v>
      </c>
      <c r="G3" s="38">
        <f>C3</f>
        <v>44443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44443</v>
      </c>
      <c r="L3" s="42">
        <f>AVERAGE(H3:H5)+AVERAGE(I3:I5)</f>
        <v>0</v>
      </c>
      <c r="M3" s="43">
        <f>SUM(J3:L3)</f>
        <v>44443</v>
      </c>
      <c r="N3" s="23"/>
    </row>
    <row r="4" spans="1:14" x14ac:dyDescent="0.25">
      <c r="A4" s="28">
        <v>2014</v>
      </c>
      <c r="B4" s="44">
        <v>0</v>
      </c>
      <c r="C4" s="38">
        <v>26286</v>
      </c>
      <c r="D4" s="38">
        <v>0</v>
      </c>
      <c r="E4" s="39">
        <v>0</v>
      </c>
      <c r="F4" s="38">
        <f>IF(B4="","",B4*Pristalsregulering!$C$7)</f>
        <v>0</v>
      </c>
      <c r="G4" s="38">
        <f>IF(C4="","",C4*Pristalsregulering!$C$7)</f>
        <v>26307.028799999996</v>
      </c>
      <c r="H4" s="38">
        <f>IF(D4="","",D4*Pristalsregulering!$C$7)</f>
        <v>0</v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>
        <v>0</v>
      </c>
      <c r="C5" s="38">
        <v>0</v>
      </c>
      <c r="D5" s="38">
        <v>0</v>
      </c>
      <c r="E5" s="39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39">
        <f>IF(E5="","",E5*Pristalsregulering!$C$7*Pristalsregulering!$C$6)</f>
        <v>0</v>
      </c>
      <c r="J5" s="35"/>
      <c r="L5" s="39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1">
        <v>32523</v>
      </c>
      <c r="C2" s="41">
        <v>0</v>
      </c>
      <c r="D2" s="41">
        <v>6688</v>
      </c>
      <c r="E2" s="41">
        <v>0</v>
      </c>
      <c r="F2" s="41">
        <v>370925</v>
      </c>
      <c r="G2" s="41">
        <v>1310656</v>
      </c>
      <c r="H2" s="41" t="s">
        <v>46</v>
      </c>
      <c r="I2" s="41">
        <v>0</v>
      </c>
      <c r="J2" s="41">
        <v>0</v>
      </c>
      <c r="K2" s="41"/>
      <c r="L2" s="42"/>
      <c r="M2" s="43">
        <f>SUM(B2:L2)</f>
        <v>1720792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2017-10-13T12:01:04Z</dcterms:modified>
</cp:coreProperties>
</file>