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43" i="11"/>
  <c r="E20" i="2" l="1"/>
  <c r="E17" i="15"/>
  <c r="G17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44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G35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<sst xmlns="http://schemas.openxmlformats.org/spreadsheetml/2006/main" count="410" uniqueCount="194">
  <si>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</si>
  <si>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</si>
  <si>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</si>
  <si>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</si>
  <si>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</si>
  <si>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</si>
  <si>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</si>
  <si>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</si>
  <si>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</si>
  <si>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</si>
  <si>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</si>
  <si>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</si>
  <si>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</si>
  <si>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</si>
  <si>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</si>
  <si>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</si>
  <si>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</si>
  <si>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</si>
  <si>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</si>
  <si>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</si>
  <si>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</si>
  <si>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</si>
  <si>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</si>
  <si>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</si>
  <si>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</si>
  <si>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</si>
  <si>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</si>
  <si>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</si>
  <si>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</si>
  <si>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</si>
  <si>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</si>
  <si>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</si>
  <si>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</si>
  <si>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</si>
  <si>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</si>
  <si>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</si>
  <si>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</si>
  <si>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</si>
  <si>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</si>
  <si>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</si>
  <si>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</si>
  <si>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</si>
  <si>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</si>
  <si>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</si>
  <si>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</si>
  <si>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</si>
  <si>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</si>
  <si>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</si>
  <si>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</si>
  <si>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</si>
  <si>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</si>
  <si>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</si>
  <si>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</si>
  <si>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</si>
  <si>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</si>
  <si>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</si>
  <si>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</si>
  <si>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</si>
  <si>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</si>
  <si>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</si>
  <si>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</si>
  <si>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</si>
  <si>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</si>
  <si>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</si>
  <si>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</si>
  <si>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</si>
  <si>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</si>
  <si>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</si>
  <si>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</si>
  <si>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</si>
  <si>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</si>
  <si>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</si>
  <si>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</si>
  <si>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</si>
  <si>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</si>
  <si>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</si>
  <si>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</si>
  <si>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</si>
  <si>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</si>
  <si>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</si>
  <si>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</si>
  <si>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</si>
  <si>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</si>
  <si>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</si>
  <si>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</si>
  <si>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</si>
  <si>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</si>
  <si>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</si>
  <si>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</si>
  <si>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</si>
  <si>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</si>
  <si>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</si>
  <si>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</si>
  <si>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</si>
  <si>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</si>
  <si>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</si>
  <si>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</si>
  <si>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</si>
  <si>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</si>
  <si>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</si>
  <si>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</si>
  <si>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</si>
  <si>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</si>
  <si>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</si>
  <si>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</si>
  <si>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</si>
  <si>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</si>
  <si>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</si>
  <si>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</si>
  <si>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</si>
  <si>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</si>
  <si>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</si>
  <si>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</si>
  <si>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</si>
  <si>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</si>
  <si>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</si>
  <si>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</si>
  <si>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</si>
  <si>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</si>
  <si>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</si>
  <si>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</si>
  <si>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</si>
  <si>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</si>
  <si>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</si>
  <si>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</si>
  <si>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</si>
  <si>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</si>
  <si>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</si>
  <si>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</si>
  <si>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</si>
  <si>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</si>
  <si>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</si>
  <si>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</si>
  <si>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</si>
  <si>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</si>
  <si>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</si>
  <si>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</si>
  <si>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</si>
  <si>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</si>
  <si>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</si>
  <si>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</si>
  <si>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</si>
  <si>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</si>
  <si>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</si>
  <si>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</si>
  <si>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</si>
  <si>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Mek/EL</t>
  </si>
  <si>
    <t>Brønde</t>
  </si>
  <si>
    <t>Indløb med riste, Mek/EL</t>
  </si>
  <si>
    <t>Ledningsnet ≤ Ø 200 mm</t>
  </si>
  <si>
    <t>Mindre renseanlæg &lt; 5.000 PE uden mulighed for opdeling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</si>
  <si>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</si>
  <si>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</si>
  <si>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</si>
  <si>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Mek/El</t>
  </si>
  <si>
    <t>Strømpeforing ≤ Ø 200 mm</t>
  </si>
  <si>
    <t>Strømpeforing Ø 200 mm &lt; Ledningsnet ≤ Ø 500 mm</t>
  </si>
  <si>
    <t>Tryksatte minipumpestationer (husstandssystemer)</t>
  </si>
  <si>
    <t>Ø 1000 mm &lt; Ledningsnet ≤ Ø 1200 mm</t>
  </si>
  <si>
    <t>Ø 200 mm &lt; Ledningsnet ≤ Ø 500 mm</t>
  </si>
  <si>
    <t>Ø 500 mm &lt; Ledningsnet ≤ Ø 800 mm</t>
  </si>
  <si>
    <t>Ø 800 mm &lt; Ledningsnet ≤ Ø 1000 mm</t>
  </si>
  <si>
    <t>KIA Varebil</t>
  </si>
  <si>
    <t>MAN TV bil BK 50247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</si>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</sst>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183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78</v>
      </c>
      <c r="C9" s="90"/>
      <c r="D9" s="90"/>
      <c r="E9" s="90"/>
      <c r="F9" s="91"/>
      <c r="G9" s="27">
        <v>1831769.54</v>
      </c>
      <c r="H9" s="23" t="s">
        <v>4</v>
      </c>
      <c r="I9" s="2"/>
    </row>
    <row r="10" spans="1:9" x14ac:dyDescent="0.25">
      <c r="A10" s="2"/>
      <c r="B10" s="89" t="s">
        <v>79</v>
      </c>
      <c r="C10" s="90"/>
      <c r="D10" s="90"/>
      <c r="E10" s="90"/>
      <c r="F10" s="91"/>
      <c r="G10" s="27">
        <v>1620000</v>
      </c>
      <c r="H10" s="23" t="s">
        <v>4</v>
      </c>
      <c r="I10" s="2"/>
    </row>
    <row r="11" spans="1:9" x14ac:dyDescent="0.25">
      <c r="A11" s="2"/>
      <c r="B11" s="99" t="s">
        <v>184</v>
      </c>
      <c r="C11" s="100"/>
      <c r="D11" s="100"/>
      <c r="E11" s="100"/>
      <c r="F11" s="101"/>
      <c r="G11" s="21">
        <f>G9-G10</f>
        <v>211769.54000000004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185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80</v>
      </c>
      <c r="C15" s="90"/>
      <c r="D15" s="90"/>
      <c r="E15" s="90"/>
      <c r="F15" s="91"/>
      <c r="G15" s="27">
        <v>1387665</v>
      </c>
      <c r="H15" s="23" t="s">
        <v>4</v>
      </c>
      <c r="I15" s="2"/>
    </row>
    <row r="16" spans="1:9" x14ac:dyDescent="0.25">
      <c r="A16" s="2"/>
      <c r="B16" s="89" t="s">
        <v>81</v>
      </c>
      <c r="C16" s="90"/>
      <c r="D16" s="90"/>
      <c r="E16" s="90"/>
      <c r="F16" s="91"/>
      <c r="G16" s="27">
        <v>1231905</v>
      </c>
      <c r="H16" s="23" t="s">
        <v>4</v>
      </c>
      <c r="I16" s="2"/>
    </row>
    <row r="17" spans="1:9" x14ac:dyDescent="0.25">
      <c r="A17" s="2"/>
      <c r="B17" s="99" t="s">
        <v>185</v>
      </c>
      <c r="C17" s="100"/>
      <c r="D17" s="100"/>
      <c r="E17" s="100"/>
      <c r="F17" s="101"/>
      <c r="G17" s="21">
        <f>G15-G16</f>
        <v>155760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186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82</v>
      </c>
      <c r="C21" s="90"/>
      <c r="D21" s="90"/>
      <c r="E21" s="90"/>
      <c r="F21" s="91"/>
      <c r="G21" s="27">
        <v>3276418</v>
      </c>
      <c r="H21" s="23" t="s">
        <v>4</v>
      </c>
      <c r="I21" s="2"/>
    </row>
    <row r="22" spans="1:9" x14ac:dyDescent="0.25">
      <c r="A22" s="2"/>
      <c r="B22" s="89" t="s">
        <v>83</v>
      </c>
      <c r="C22" s="90"/>
      <c r="D22" s="90"/>
      <c r="E22" s="90"/>
      <c r="F22" s="91"/>
      <c r="G22" s="27">
        <v>3371875</v>
      </c>
      <c r="H22" s="23" t="s">
        <v>4</v>
      </c>
      <c r="I22" s="2"/>
    </row>
    <row r="23" spans="1:9" x14ac:dyDescent="0.25">
      <c r="A23" s="2"/>
      <c r="B23" s="99" t="s">
        <v>186</v>
      </c>
      <c r="C23" s="100"/>
      <c r="D23" s="100"/>
      <c r="E23" s="100"/>
      <c r="F23" s="101"/>
      <c r="G23" s="21">
        <f>G21-G22</f>
        <v>-95457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187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84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85</v>
      </c>
      <c r="C28" s="90"/>
      <c r="D28" s="90"/>
      <c r="E28" s="90"/>
      <c r="F28" s="91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187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87</v>
      </c>
      <c r="C33" s="90"/>
      <c r="D33" s="90"/>
      <c r="E33" s="90"/>
      <c r="F33" s="91"/>
      <c r="G33" s="12">
        <f>'Fane 8. Gen. inv. i 2016'!F44</f>
        <v>1440794.3552333331</v>
      </c>
      <c r="H33" s="23" t="s">
        <v>4</v>
      </c>
      <c r="I33" s="2"/>
    </row>
    <row r="34" spans="1:9" x14ac:dyDescent="0.25">
      <c r="A34" s="2"/>
      <c r="B34" s="89" t="s">
        <v>88</v>
      </c>
      <c r="C34" s="90"/>
      <c r="D34" s="90"/>
      <c r="E34" s="90"/>
      <c r="F34" s="91"/>
      <c r="G34" s="27">
        <v>591080</v>
      </c>
      <c r="H34" s="23" t="s">
        <v>4</v>
      </c>
      <c r="I34" s="2"/>
    </row>
    <row r="35" spans="1:9" x14ac:dyDescent="0.25">
      <c r="A35" s="2"/>
      <c r="B35" s="99" t="s">
        <v>86</v>
      </c>
      <c r="C35" s="100"/>
      <c r="D35" s="100"/>
      <c r="E35" s="100"/>
      <c r="F35" s="101"/>
      <c r="G35" s="21">
        <f>G33-G34</f>
        <v>849714.35523333307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90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98191810.003274813</v>
      </c>
      <c r="H9" s="38" t="s">
        <v>4</v>
      </c>
      <c r="I9" s="2"/>
    </row>
    <row r="10" spans="1:9" x14ac:dyDescent="0.25">
      <c r="A10" s="2"/>
      <c r="B10" s="99" t="s">
        <v>92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48800838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93</v>
      </c>
      <c r="C12" s="90"/>
      <c r="D12" s="91"/>
      <c r="E12" s="27">
        <v>9531847.033433333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94</v>
      </c>
      <c r="C13" s="90"/>
      <c r="D13" s="91"/>
      <c r="E13" s="27">
        <v>1263975.4335333328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95</v>
      </c>
      <c r="C14" s="90"/>
      <c r="D14" s="91"/>
      <c r="E14" s="27">
        <v>1243160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60839820.466966666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404298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4000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408298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-1611238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-28215527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-10177452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-40004217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21243901.466966666</v>
      </c>
      <c r="F28" s="38" t="s">
        <v>4</v>
      </c>
      <c r="G28" s="1">
        <f>IF(E28&lt;0,0,-E28)</f>
        <v>-21243901.466966666</v>
      </c>
      <c r="H28" s="38" t="s">
        <v>4</v>
      </c>
      <c r="I28" s="2"/>
    </row>
    <row r="29" spans="1:9" x14ac:dyDescent="0.25">
      <c r="A29" s="2"/>
      <c r="B29" s="99" t="s">
        <v>96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96</v>
      </c>
      <c r="C30" s="97"/>
      <c r="D30" s="98"/>
      <c r="E30" s="26">
        <v>4202417</v>
      </c>
      <c r="F30" s="38" t="s">
        <v>4</v>
      </c>
      <c r="G30" s="18">
        <f>-$E$30</f>
        <v>-4202417</v>
      </c>
      <c r="H30" s="38" t="s">
        <v>4</v>
      </c>
      <c r="I30" s="2"/>
    </row>
    <row r="31" spans="1:9" x14ac:dyDescent="0.25">
      <c r="A31" s="2"/>
      <c r="B31" s="117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66752817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3050798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69803615</v>
      </c>
      <c r="F35" s="38" t="s">
        <v>4</v>
      </c>
      <c r="G35" s="18">
        <f>-E35</f>
        <v>-69803615</v>
      </c>
      <c r="H35" s="38" t="s">
        <v>4</v>
      </c>
      <c r="I35" s="2"/>
    </row>
    <row r="36" spans="1:9" x14ac:dyDescent="0.25">
      <c r="A36" s="2"/>
      <c r="B36" s="99" t="s">
        <v>97</v>
      </c>
      <c r="C36" s="100"/>
      <c r="D36" s="100"/>
      <c r="E36" s="100"/>
      <c r="F36" s="101"/>
      <c r="G36" s="21">
        <f>$G$9+$G$28+$G$30+$G$35</f>
        <v>2941876.5363081396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180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116</v>
      </c>
      <c r="C9" s="94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118" t="s">
        <v>181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133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145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176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193</v>
      </c>
      <c r="C16" s="93"/>
      <c r="D16" s="93"/>
      <c r="E16" s="94"/>
      <c r="F16" s="116" t="s">
        <v>177</v>
      </c>
      <c r="G16" s="116"/>
      <c r="H16" s="2"/>
    </row>
    <row r="17" spans="1:8" x14ac:dyDescent="0.25">
      <c r="A17" s="2"/>
      <c r="B17" s="89" t="s">
        <v>189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178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179</v>
      </c>
      <c r="C19" s="100"/>
      <c r="D19" s="100"/>
      <c r="E19" s="10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117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119</v>
      </c>
      <c r="C9" s="46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35" t="s">
        <v>188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128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144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101525649.6217148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1838521.3224585999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121</v>
      </c>
      <c r="C11" s="90"/>
      <c r="D11" s="91"/>
      <c r="E11" s="12">
        <f>'Fane 4. Ikke-påvirkelige omk.'!G19</f>
        <v>-99720.472114999793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191</v>
      </c>
      <c r="C12" s="49"/>
      <c r="D12" s="50"/>
      <c r="E12" s="12">
        <f>'Fane 5. Individuelt eff.krav'!G10</f>
        <v>-1389746.0953950833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172</v>
      </c>
      <c r="C13" s="102"/>
      <c r="D13" s="103"/>
      <c r="E13" s="12">
        <f>'Fane 3. Korrigeret grundlag'!G22</f>
        <v>556985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129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130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176</v>
      </c>
      <c r="C16" s="87"/>
      <c r="D16" s="8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131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132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123</v>
      </c>
      <c r="C20" s="90"/>
      <c r="D20" s="91"/>
      <c r="E20" s="12">
        <f>SUM(E9,E11:E18)*(E19/100)</f>
        <v>1760380.4409485827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829186.29614348558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1856818.074311082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182</v>
      </c>
      <c r="C23" s="97"/>
      <c r="D23" s="98"/>
      <c r="E23" s="18">
        <f>SUM(E9,E11:E18,E20)-SUM(E21:E22)</f>
        <v>99667544.124698728</v>
      </c>
      <c r="F23" s="19" t="s">
        <v>4</v>
      </c>
      <c r="G23" s="18">
        <f>E23</f>
        <v>99667544.124698728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-4898935.4144620821</v>
      </c>
      <c r="F25" s="19" t="s">
        <v>4</v>
      </c>
      <c r="G25" s="18">
        <f>E25</f>
        <v>-4898935.4144620821</v>
      </c>
      <c r="H25" s="19" t="s">
        <v>4</v>
      </c>
      <c r="I25" s="2"/>
    </row>
    <row r="26" spans="1:9" x14ac:dyDescent="0.25">
      <c r="A26" s="2"/>
      <c r="B26" s="99" t="s">
        <v>98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105</v>
      </c>
      <c r="C27" s="87"/>
      <c r="D27" s="88"/>
      <c r="E27" s="12">
        <f>'Fane 9. Korrektion af PL2016'!G11</f>
        <v>211769.54000000004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99</v>
      </c>
      <c r="C28" s="87"/>
      <c r="D28" s="88"/>
      <c r="E28" s="12">
        <f>'Fane 9. Korrektion af PL2016'!G17</f>
        <v>155760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100</v>
      </c>
      <c r="C29" s="87"/>
      <c r="D29" s="88"/>
      <c r="E29" s="12">
        <f>'Fane 9. Korrektion af PL2016'!G23</f>
        <v>-95457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101</v>
      </c>
      <c r="C30" s="87"/>
      <c r="D30" s="88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102</v>
      </c>
      <c r="C31" s="87"/>
      <c r="D31" s="88"/>
      <c r="E31" s="12">
        <f>'Fane 9. Korrektion af PL2016'!G35</f>
        <v>849714.35523333307</v>
      </c>
      <c r="F31" s="9" t="s">
        <v>4</v>
      </c>
      <c r="G31" s="15"/>
      <c r="H31" s="14"/>
      <c r="I31" s="2"/>
    </row>
    <row r="32" spans="1:9" x14ac:dyDescent="0.25">
      <c r="A32" s="2"/>
      <c r="B32" s="92" t="s">
        <v>103</v>
      </c>
      <c r="C32" s="93"/>
      <c r="D32" s="94"/>
      <c r="E32" s="18">
        <f>SUM(E27:E31)</f>
        <v>1121786.8952333331</v>
      </c>
      <c r="F32" s="19" t="s">
        <v>4</v>
      </c>
      <c r="G32" s="18">
        <f>E32</f>
        <v>1121786.8952333331</v>
      </c>
      <c r="H32" s="19" t="s">
        <v>4</v>
      </c>
      <c r="I32" s="2"/>
    </row>
    <row r="33" spans="1:9" x14ac:dyDescent="0.25">
      <c r="A33" s="2"/>
      <c r="B33" s="99" t="s">
        <v>18</v>
      </c>
      <c r="C33" s="100"/>
      <c r="D33" s="100"/>
      <c r="E33" s="100"/>
      <c r="F33" s="100"/>
      <c r="G33" s="100"/>
      <c r="H33" s="101"/>
      <c r="I33" s="2"/>
    </row>
    <row r="34" spans="1:9" x14ac:dyDescent="0.25">
      <c r="A34" s="2"/>
      <c r="B34" s="92" t="s">
        <v>104</v>
      </c>
      <c r="C34" s="93"/>
      <c r="D34" s="94"/>
      <c r="E34" s="18">
        <f>'Fane 10. Kontrol af PL2016'!G36</f>
        <v>2941876.5363081396</v>
      </c>
      <c r="F34" s="19" t="s">
        <v>4</v>
      </c>
      <c r="G34" s="18">
        <f>E34</f>
        <v>2941876.5363081396</v>
      </c>
      <c r="H34" s="19" t="s">
        <v>4</v>
      </c>
      <c r="I34" s="2"/>
    </row>
    <row r="35" spans="1:9" x14ac:dyDescent="0.25">
      <c r="A35" s="2"/>
      <c r="B35" s="99" t="s">
        <v>62</v>
      </c>
      <c r="C35" s="100"/>
      <c r="D35" s="100"/>
      <c r="E35" s="100"/>
      <c r="F35" s="101"/>
      <c r="G35" s="21">
        <f>G23+G25+G32+G34</f>
        <v>98832272.141778111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106</v>
      </c>
      <c r="C9" s="87"/>
      <c r="D9" s="88"/>
      <c r="E9" s="8">
        <f>'Fane 2.1. Økonomisk ramme 2018'!G23-'Fane 2.1. Økonomisk ramme 2018'!E13*(1+0.0175)*(1-0.02-'Fane 5. Individuelt eff.krav'!G11/100)</f>
        <v>99116818.498825058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2018'!E16))*(1+'Fane 2.1. Økonomisk ramme 2018'!E19/100)</f>
        <v>1769229.8652246133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172</v>
      </c>
      <c r="C11" s="59"/>
      <c r="D11" s="60"/>
      <c r="E11" s="12">
        <v>566732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1744462.1337294385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821301.22484269645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1865896.628809155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182</v>
      </c>
      <c r="C15" s="97"/>
      <c r="D15" s="98"/>
      <c r="E15" s="18">
        <f>$E$9+$E$12-$E$13-$E$14+E11</f>
        <v>98740814.77890265</v>
      </c>
      <c r="F15" s="19" t="s">
        <v>4</v>
      </c>
      <c r="G15" s="18">
        <f>E15</f>
        <v>98740814.77890265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-4898935.4144620821</v>
      </c>
      <c r="F17" s="19" t="s">
        <v>4</v>
      </c>
      <c r="G17" s="18">
        <f>E17</f>
        <v>-4898935.4144620821</v>
      </c>
      <c r="H17" s="19" t="s">
        <v>4</v>
      </c>
      <c r="I17" s="2"/>
    </row>
    <row r="18" spans="1:9" x14ac:dyDescent="0.25">
      <c r="A18" s="2"/>
      <c r="B18" s="99" t="s">
        <v>107</v>
      </c>
      <c r="C18" s="100"/>
      <c r="D18" s="100"/>
      <c r="E18" s="100"/>
      <c r="F18" s="101"/>
      <c r="G18" s="21">
        <f>G15+G17</f>
        <v>93841879.36444056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141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110</v>
      </c>
      <c r="C9" s="90"/>
      <c r="D9" s="90"/>
      <c r="E9" s="90"/>
      <c r="F9" s="91"/>
      <c r="G9" s="27">
        <v>31753643.527431808</v>
      </c>
      <c r="H9" s="23" t="s">
        <v>4</v>
      </c>
      <c r="I9" s="2"/>
    </row>
    <row r="10" spans="1:9" x14ac:dyDescent="0.25">
      <c r="A10" s="2"/>
      <c r="B10" s="89" t="s">
        <v>111</v>
      </c>
      <c r="C10" s="90"/>
      <c r="D10" s="90"/>
      <c r="E10" s="90"/>
      <c r="F10" s="91"/>
      <c r="G10" s="27">
        <v>67933484.77182439</v>
      </c>
      <c r="H10" s="23" t="s">
        <v>4</v>
      </c>
      <c r="I10" s="2"/>
    </row>
    <row r="11" spans="1:9" x14ac:dyDescent="0.25">
      <c r="A11" s="2"/>
      <c r="B11" s="89" t="s">
        <v>138</v>
      </c>
      <c r="C11" s="90"/>
      <c r="D11" s="90"/>
      <c r="E11" s="90"/>
      <c r="F11" s="91"/>
      <c r="G11" s="27">
        <v>1838521.3224585999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101525649.6217148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172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173</v>
      </c>
      <c r="C20" s="90"/>
      <c r="D20" s="90"/>
      <c r="E20" s="90"/>
      <c r="F20" s="91"/>
      <c r="G20" s="27">
        <v>556985</v>
      </c>
      <c r="H20" s="23" t="s">
        <v>4</v>
      </c>
      <c r="I20" s="2"/>
    </row>
    <row r="21" spans="1:9" x14ac:dyDescent="0.25">
      <c r="A21" s="2"/>
      <c r="B21" s="89" t="s">
        <v>174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4" t="s">
        <v>175</v>
      </c>
      <c r="C22" s="105"/>
      <c r="D22" s="105"/>
      <c r="E22" s="105"/>
      <c r="F22" s="106"/>
      <c r="G22" s="21">
        <f>SUM(G20:G21)</f>
        <v>556985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113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115</v>
      </c>
      <c r="C9" s="93"/>
      <c r="D9" s="9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164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165</v>
      </c>
      <c r="C11" s="109"/>
      <c r="D11" s="109"/>
      <c r="E11" s="56">
        <v>155222.90299999999</v>
      </c>
      <c r="F11" s="23" t="s">
        <v>4</v>
      </c>
      <c r="G11" s="27">
        <v>155301.57999999999</v>
      </c>
      <c r="H11" s="23" t="s">
        <v>4</v>
      </c>
      <c r="I11" s="2"/>
    </row>
    <row r="12" spans="1:9" x14ac:dyDescent="0.25">
      <c r="A12" s="2"/>
      <c r="B12" s="108" t="s">
        <v>166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167</v>
      </c>
      <c r="C13" s="109"/>
      <c r="D13" s="109"/>
      <c r="E13" s="56">
        <v>32398.416399999998</v>
      </c>
      <c r="F13" s="23" t="s">
        <v>4</v>
      </c>
      <c r="G13" s="27">
        <v>50765.68</v>
      </c>
      <c r="H13" s="23" t="s">
        <v>4</v>
      </c>
      <c r="I13" s="2"/>
    </row>
    <row r="14" spans="1:9" x14ac:dyDescent="0.25">
      <c r="A14" s="2"/>
      <c r="B14" s="108" t="s">
        <v>168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169</v>
      </c>
      <c r="C15" s="109"/>
      <c r="D15" s="109"/>
      <c r="E15" s="56">
        <v>1503726.0444</v>
      </c>
      <c r="F15" s="23" t="s">
        <v>4</v>
      </c>
      <c r="G15" s="27">
        <v>1384544</v>
      </c>
      <c r="H15" s="23" t="s">
        <v>4</v>
      </c>
      <c r="I15" s="2"/>
    </row>
    <row r="16" spans="1:9" x14ac:dyDescent="0.25">
      <c r="A16" s="2"/>
      <c r="B16" s="108" t="s">
        <v>170</v>
      </c>
      <c r="C16" s="109"/>
      <c r="D16" s="109"/>
      <c r="E16" s="56">
        <v>124117.5542</v>
      </c>
      <c r="F16" s="23" t="s">
        <v>4</v>
      </c>
      <c r="G16" s="27">
        <v>126848.28</v>
      </c>
      <c r="H16" s="23" t="s">
        <v>4</v>
      </c>
      <c r="I16" s="2"/>
    </row>
    <row r="17" spans="1:9" x14ac:dyDescent="0.25">
      <c r="A17" s="2"/>
      <c r="B17" s="108" t="s">
        <v>171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9" t="s">
        <v>134</v>
      </c>
      <c r="C18" s="100"/>
      <c r="D18" s="100"/>
      <c r="E18" s="100"/>
      <c r="F18" s="101"/>
      <c r="G18" s="21">
        <f>SUM(G10:G17)-SUM(E10:E17)</f>
        <v>-98005.377999999793</v>
      </c>
      <c r="H18" s="22" t="s">
        <v>4</v>
      </c>
      <c r="I18" s="2"/>
    </row>
    <row r="19" spans="1:9" x14ac:dyDescent="0.25">
      <c r="A19" s="2"/>
      <c r="B19" s="99" t="s">
        <v>135</v>
      </c>
      <c r="C19" s="100"/>
      <c r="D19" s="100"/>
      <c r="E19" s="100"/>
      <c r="F19" s="101"/>
      <c r="G19" s="21">
        <f>G18*(1+'Fane 2.1. Økonomisk ramme 2018'!E19/100)</f>
        <v>-99720.472114999793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100244113.29925621</v>
      </c>
      <c r="H9" s="23" t="s">
        <v>4</v>
      </c>
      <c r="I9" s="2"/>
    </row>
    <row r="10" spans="1:9" x14ac:dyDescent="0.25">
      <c r="A10" s="2"/>
      <c r="B10" s="51" t="s">
        <v>191</v>
      </c>
      <c r="C10" s="49"/>
      <c r="D10" s="49"/>
      <c r="E10" s="49"/>
      <c r="F10" s="50"/>
      <c r="G10" s="12">
        <v>-1389746.0953950833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0.82436935243776921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829186.29614348558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32310628.527431808</v>
      </c>
      <c r="H9" s="23" t="s">
        <v>4</v>
      </c>
      <c r="I9" s="2"/>
    </row>
    <row r="10" spans="1:9" x14ac:dyDescent="0.25">
      <c r="A10" s="2"/>
      <c r="B10" s="52" t="s">
        <v>190</v>
      </c>
      <c r="C10" s="53"/>
      <c r="D10" s="53"/>
      <c r="E10" s="53"/>
      <c r="F10" s="54"/>
      <c r="G10" s="12">
        <v>-647477.21671415144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644345.12917310442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67933484.77182439</v>
      </c>
      <c r="H13" s="23" t="s">
        <v>4</v>
      </c>
      <c r="I13" s="2"/>
    </row>
    <row r="14" spans="1:9" x14ac:dyDescent="0.25">
      <c r="A14" s="2"/>
      <c r="B14" s="51" t="s">
        <v>192</v>
      </c>
      <c r="C14" s="49"/>
      <c r="D14" s="49"/>
      <c r="E14" s="49"/>
      <c r="F14" s="50"/>
      <c r="G14" s="12">
        <v>-610343.41017430509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1212472.9451379776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1856818.074311082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-48174728</v>
      </c>
      <c r="H9" s="23" t="s">
        <v>4</v>
      </c>
      <c r="I9" s="2"/>
    </row>
    <row r="10" spans="1:9" x14ac:dyDescent="0.25">
      <c r="A10" s="2"/>
      <c r="B10" s="89" t="s">
        <v>120</v>
      </c>
      <c r="C10" s="90"/>
      <c r="D10" s="90"/>
      <c r="E10" s="90"/>
      <c r="F10" s="91"/>
      <c r="G10" s="27">
        <v>-33477921.756613754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-14696806.243386246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125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-4898935.4144620821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1378125.01</v>
      </c>
      <c r="F10" s="12">
        <f>E10/D10</f>
        <v>68906.250499999995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4934361.34</v>
      </c>
      <c r="F11" s="12">
        <f t="shared" ref="F11:F43" si="0">E11/D11</f>
        <v>65791.484533333336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2739418.63</v>
      </c>
      <c r="F12" s="12">
        <f t="shared" si="0"/>
        <v>136970.93150000001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10881973</v>
      </c>
      <c r="F13" s="12">
        <f t="shared" si="0"/>
        <v>145092.97333333333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40</v>
      </c>
      <c r="E14" s="27">
        <v>13644.66</v>
      </c>
      <c r="F14" s="12">
        <f t="shared" si="0"/>
        <v>341.11649999999997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50</v>
      </c>
      <c r="E15" s="27">
        <v>1674505.4</v>
      </c>
      <c r="F15" s="12">
        <f t="shared" si="0"/>
        <v>33490.108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3933673.34</v>
      </c>
      <c r="F16" s="12">
        <f t="shared" si="0"/>
        <v>196683.66699999999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83168.490000000005</v>
      </c>
      <c r="F17" s="12">
        <f t="shared" si="0"/>
        <v>8316.8490000000002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20</v>
      </c>
      <c r="E18" s="27">
        <v>194641.88</v>
      </c>
      <c r="F18" s="12">
        <f t="shared" si="0"/>
        <v>9732.094000000001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50</v>
      </c>
      <c r="E19" s="27">
        <v>233500.76</v>
      </c>
      <c r="F19" s="12">
        <f t="shared" si="0"/>
        <v>4670.0151999999998</v>
      </c>
      <c r="G19" s="23" t="s">
        <v>4</v>
      </c>
      <c r="H19" s="2"/>
    </row>
    <row r="20" spans="1:8" ht="26.25" x14ac:dyDescent="0.25">
      <c r="A20" s="2"/>
      <c r="B20" s="47" t="s">
        <v>156</v>
      </c>
      <c r="C20" s="41">
        <v>2016</v>
      </c>
      <c r="D20" s="28">
        <v>50</v>
      </c>
      <c r="E20" s="27">
        <v>486287.27</v>
      </c>
      <c r="F20" s="12">
        <f t="shared" si="0"/>
        <v>9725.7453999999998</v>
      </c>
      <c r="G20" s="23" t="s">
        <v>4</v>
      </c>
      <c r="H20" s="2"/>
    </row>
    <row r="21" spans="1:8" ht="26.25" x14ac:dyDescent="0.25">
      <c r="A21" s="2"/>
      <c r="B21" s="47" t="s">
        <v>157</v>
      </c>
      <c r="C21" s="41">
        <v>2016</v>
      </c>
      <c r="D21" s="28">
        <v>30</v>
      </c>
      <c r="E21" s="27">
        <v>455419.44</v>
      </c>
      <c r="F21" s="12">
        <f t="shared" si="0"/>
        <v>15180.647999999999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75</v>
      </c>
      <c r="E22" s="27">
        <v>2019086.11</v>
      </c>
      <c r="F22" s="12">
        <f t="shared" si="0"/>
        <v>26921.148133333336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75</v>
      </c>
      <c r="E23" s="27">
        <v>6854056.2000000002</v>
      </c>
      <c r="F23" s="12">
        <f t="shared" si="0"/>
        <v>91387.415999999997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75</v>
      </c>
      <c r="E24" s="27">
        <v>3865803.17</v>
      </c>
      <c r="F24" s="12">
        <f t="shared" si="0"/>
        <v>51544.042266666664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75</v>
      </c>
      <c r="E25" s="27">
        <v>4706477.12</v>
      </c>
      <c r="F25" s="12">
        <f t="shared" si="0"/>
        <v>62753.028266666668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5</v>
      </c>
      <c r="E26" s="27">
        <v>469657</v>
      </c>
      <c r="F26" s="12">
        <f t="shared" si="0"/>
        <v>93931.4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5</v>
      </c>
      <c r="E27" s="27">
        <v>1862416</v>
      </c>
      <c r="F27" s="12">
        <f t="shared" si="0"/>
        <v>372483.2</v>
      </c>
      <c r="G27" s="23" t="s">
        <v>4</v>
      </c>
      <c r="H27" s="2"/>
    </row>
    <row r="28" spans="1:8" x14ac:dyDescent="0.25">
      <c r="A28" s="2"/>
      <c r="B28" s="47" t="s">
        <v>147</v>
      </c>
      <c r="C28" s="41">
        <v>2016</v>
      </c>
      <c r="D28" s="28">
        <v>25</v>
      </c>
      <c r="E28" s="27">
        <v>32923.919999999998</v>
      </c>
      <c r="F28" s="12">
        <f t="shared" si="0"/>
        <v>1316.9567999999999</v>
      </c>
      <c r="G28" s="23" t="s">
        <v>4</v>
      </c>
      <c r="H28" s="2"/>
    </row>
    <row r="29" spans="1:8" x14ac:dyDescent="0.25">
      <c r="A29" s="2"/>
      <c r="B29" s="47" t="s">
        <v>147</v>
      </c>
      <c r="C29" s="41">
        <v>2016</v>
      </c>
      <c r="D29" s="28">
        <v>25</v>
      </c>
      <c r="E29" s="27">
        <v>5818.25</v>
      </c>
      <c r="F29" s="12">
        <f t="shared" si="0"/>
        <v>232.73</v>
      </c>
      <c r="G29" s="23" t="s">
        <v>4</v>
      </c>
      <c r="H29" s="2"/>
    </row>
    <row r="30" spans="1:8" x14ac:dyDescent="0.25">
      <c r="A30" s="2"/>
      <c r="B30" s="47" t="s">
        <v>147</v>
      </c>
      <c r="C30" s="41">
        <v>2016</v>
      </c>
      <c r="D30" s="28">
        <v>25</v>
      </c>
      <c r="E30" s="27">
        <v>121242.23</v>
      </c>
      <c r="F30" s="12">
        <f t="shared" si="0"/>
        <v>4849.6891999999998</v>
      </c>
      <c r="G30" s="23" t="s">
        <v>4</v>
      </c>
      <c r="H30" s="2"/>
    </row>
    <row r="31" spans="1:8" x14ac:dyDescent="0.25">
      <c r="A31" s="2"/>
      <c r="B31" s="47" t="s">
        <v>147</v>
      </c>
      <c r="C31" s="41">
        <v>2016</v>
      </c>
      <c r="D31" s="28">
        <v>25</v>
      </c>
      <c r="E31" s="27">
        <v>5818.25</v>
      </c>
      <c r="F31" s="12">
        <f t="shared" si="0"/>
        <v>232.73</v>
      </c>
      <c r="G31" s="23" t="s">
        <v>4</v>
      </c>
      <c r="H31" s="2"/>
    </row>
    <row r="32" spans="1:8" x14ac:dyDescent="0.25">
      <c r="A32" s="2"/>
      <c r="B32" s="47" t="s">
        <v>147</v>
      </c>
      <c r="C32" s="41">
        <v>2016</v>
      </c>
      <c r="D32" s="28">
        <v>25</v>
      </c>
      <c r="E32" s="27">
        <v>27105.67</v>
      </c>
      <c r="F32" s="12">
        <f t="shared" si="0"/>
        <v>1084.2267999999999</v>
      </c>
      <c r="G32" s="23" t="s">
        <v>4</v>
      </c>
      <c r="H32" s="2"/>
    </row>
    <row r="33" spans="1:8" x14ac:dyDescent="0.25">
      <c r="A33" s="2"/>
      <c r="B33" s="47" t="s">
        <v>147</v>
      </c>
      <c r="C33" s="41">
        <v>2016</v>
      </c>
      <c r="D33" s="28">
        <v>25</v>
      </c>
      <c r="E33" s="27">
        <v>23273</v>
      </c>
      <c r="F33" s="12">
        <f t="shared" si="0"/>
        <v>930.92</v>
      </c>
      <c r="G33" s="23" t="s">
        <v>4</v>
      </c>
      <c r="H33" s="2"/>
    </row>
    <row r="34" spans="1:8" x14ac:dyDescent="0.25">
      <c r="A34" s="2"/>
      <c r="B34" s="47" t="s">
        <v>147</v>
      </c>
      <c r="C34" s="41">
        <v>2016</v>
      </c>
      <c r="D34" s="28">
        <v>25</v>
      </c>
      <c r="E34" s="27">
        <v>50378.67</v>
      </c>
      <c r="F34" s="12">
        <f t="shared" si="0"/>
        <v>2015.1468</v>
      </c>
      <c r="G34" s="23" t="s">
        <v>4</v>
      </c>
      <c r="H34" s="2"/>
    </row>
    <row r="35" spans="1:8" x14ac:dyDescent="0.25">
      <c r="A35" s="2"/>
      <c r="B35" s="47" t="s">
        <v>147</v>
      </c>
      <c r="C35" s="41">
        <v>2016</v>
      </c>
      <c r="D35" s="28">
        <v>25</v>
      </c>
      <c r="E35" s="27">
        <v>158939.84</v>
      </c>
      <c r="F35" s="12">
        <f t="shared" si="0"/>
        <v>6357.5936000000002</v>
      </c>
      <c r="G35" s="23" t="s">
        <v>4</v>
      </c>
      <c r="H35" s="2"/>
    </row>
    <row r="36" spans="1:8" x14ac:dyDescent="0.25">
      <c r="A36" s="2"/>
      <c r="B36" s="47" t="s">
        <v>147</v>
      </c>
      <c r="C36" s="41">
        <v>2016</v>
      </c>
      <c r="D36" s="28">
        <v>25</v>
      </c>
      <c r="E36" s="27">
        <v>327530.59999999998</v>
      </c>
      <c r="F36" s="12">
        <f t="shared" si="0"/>
        <v>13101.223999999998</v>
      </c>
      <c r="G36" s="23" t="s">
        <v>4</v>
      </c>
      <c r="H36" s="2"/>
    </row>
    <row r="37" spans="1:8" x14ac:dyDescent="0.25">
      <c r="A37" s="2"/>
      <c r="B37" s="47" t="s">
        <v>147</v>
      </c>
      <c r="C37" s="41">
        <v>2016</v>
      </c>
      <c r="D37" s="28">
        <v>25</v>
      </c>
      <c r="E37" s="27">
        <v>155107.17000000001</v>
      </c>
      <c r="F37" s="12">
        <f t="shared" si="0"/>
        <v>6204.2868000000008</v>
      </c>
      <c r="G37" s="23" t="s">
        <v>4</v>
      </c>
      <c r="H37" s="2"/>
    </row>
    <row r="38" spans="1:8" x14ac:dyDescent="0.25">
      <c r="A38" s="2"/>
      <c r="B38" s="47" t="s">
        <v>147</v>
      </c>
      <c r="C38" s="41">
        <v>2016</v>
      </c>
      <c r="D38" s="28">
        <v>25</v>
      </c>
      <c r="E38" s="27">
        <v>34909.5</v>
      </c>
      <c r="F38" s="12">
        <f t="shared" si="0"/>
        <v>1396.38</v>
      </c>
      <c r="G38" s="23" t="s">
        <v>4</v>
      </c>
      <c r="H38" s="2"/>
    </row>
    <row r="39" spans="1:8" x14ac:dyDescent="0.25">
      <c r="A39" s="2"/>
      <c r="B39" s="47" t="s">
        <v>147</v>
      </c>
      <c r="C39" s="41">
        <v>2016</v>
      </c>
      <c r="D39" s="28">
        <v>25</v>
      </c>
      <c r="E39" s="27">
        <v>93092</v>
      </c>
      <c r="F39" s="12">
        <f t="shared" si="0"/>
        <v>3723.68</v>
      </c>
      <c r="G39" s="23" t="s">
        <v>4</v>
      </c>
      <c r="H39" s="2"/>
    </row>
    <row r="40" spans="1:8" x14ac:dyDescent="0.25">
      <c r="A40" s="2"/>
      <c r="B40" s="47" t="s">
        <v>147</v>
      </c>
      <c r="C40" s="41">
        <v>2016</v>
      </c>
      <c r="D40" s="28">
        <v>25</v>
      </c>
      <c r="E40" s="27">
        <v>91106.42</v>
      </c>
      <c r="F40" s="12">
        <f t="shared" si="0"/>
        <v>3644.2568000000001</v>
      </c>
      <c r="G40" s="23" t="s">
        <v>4</v>
      </c>
      <c r="H40" s="2"/>
    </row>
    <row r="41" spans="1:8" x14ac:dyDescent="0.25">
      <c r="A41" s="2"/>
      <c r="B41" s="47" t="s">
        <v>147</v>
      </c>
      <c r="C41" s="41">
        <v>2016</v>
      </c>
      <c r="D41" s="28">
        <v>25</v>
      </c>
      <c r="E41" s="27">
        <v>11636.5</v>
      </c>
      <c r="F41" s="12">
        <f t="shared" si="0"/>
        <v>465.46</v>
      </c>
      <c r="G41" s="23" t="s">
        <v>4</v>
      </c>
      <c r="H41" s="2"/>
    </row>
    <row r="42" spans="1:8" x14ac:dyDescent="0.25">
      <c r="A42" s="2"/>
      <c r="B42" s="47" t="s">
        <v>147</v>
      </c>
      <c r="C42" s="41">
        <v>2016</v>
      </c>
      <c r="D42" s="28">
        <v>25</v>
      </c>
      <c r="E42" s="27">
        <v>5818.25</v>
      </c>
      <c r="F42" s="12">
        <f t="shared" si="0"/>
        <v>232.73</v>
      </c>
      <c r="G42" s="23" t="s">
        <v>4</v>
      </c>
      <c r="H42" s="2"/>
    </row>
    <row r="43" spans="1:8" x14ac:dyDescent="0.25">
      <c r="A43" s="2"/>
      <c r="B43" s="47" t="s">
        <v>147</v>
      </c>
      <c r="C43" s="41">
        <v>2016</v>
      </c>
      <c r="D43" s="28">
        <v>25</v>
      </c>
      <c r="E43" s="27">
        <v>27105.67</v>
      </c>
      <c r="F43" s="12">
        <f t="shared" si="0"/>
        <v>1084.2267999999999</v>
      </c>
      <c r="G43" s="23" t="s">
        <v>4</v>
      </c>
      <c r="H43" s="2"/>
    </row>
    <row r="44" spans="1:8" x14ac:dyDescent="0.25">
      <c r="A44" s="2"/>
      <c r="B44" s="99" t="s">
        <v>76</v>
      </c>
      <c r="C44" s="100"/>
      <c r="D44" s="100"/>
      <c r="E44" s="101"/>
      <c r="F44" s="21">
        <f>SUM(F10:F43)</f>
        <v>1440794.3552333331</v>
      </c>
      <c r="G44" s="22" t="s">
        <v>4</v>
      </c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sheetProtection password="DFE9" sheet="1" objects="1" scenarios="1"/>
  <mergeCells count="4">
    <mergeCell ref="B44:E4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2017-10-13T11:55:39Z</dcterms:modified>
</cp:coreProperties>
</file>