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285" windowWidth="15600" windowHeight="7410" tabRatio="904"/>
  </bookViews>
  <sheets>
    <sheet name="Grundlag" sheetId="12" r:id="rId1"/>
    <sheet name="Faktiske driftsomkostninger" sheetId="15" r:id="rId2"/>
    <sheet name="Miljø- og servicemål" sheetId="16" r:id="rId3"/>
    <sheet name="Revisorerklæringer mm." sheetId="17" r:id="rId4"/>
    <sheet name="Investeringer" sheetId="20" r:id="rId5"/>
    <sheet name="Finansielle omkostninger" sheetId="24" r:id="rId6"/>
    <sheet name="Ikke-påvirkelige omkostninger" sheetId="18" r:id="rId7"/>
    <sheet name="Pristalsregulering" sheetId="27" r:id="rId8"/>
  </sheets>
  <calcPr calcId="145621"/>
</workbook>
</file>

<file path=xl/calcChain.xml><?xml version="1.0" encoding="utf-8"?>
<calcChain xmlns="http://schemas.openxmlformats.org/spreadsheetml/2006/main">
  <c r="K3" i="16" l="1"/>
  <c r="J3" i="16"/>
  <c r="I3" i="16"/>
  <c r="H3" i="16"/>
  <c r="G3" i="16"/>
  <c r="G3" i="20"/>
  <c r="B7" i="12" l="1"/>
  <c r="B8" i="12"/>
  <c r="E3" i="20"/>
  <c r="B6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M2" i="18" l="1"/>
  <c r="C8" i="27" l="1"/>
  <c r="C9" i="27"/>
  <c r="E2" i="15" l="1"/>
  <c r="K4" i="16" l="1"/>
  <c r="F3" i="17" l="1"/>
  <c r="G3" i="17"/>
  <c r="G4" i="16" l="1"/>
  <c r="H4" i="16"/>
  <c r="M3" i="16" s="1"/>
  <c r="I4" i="16"/>
  <c r="J4" i="16"/>
  <c r="G3" i="24"/>
  <c r="K3" i="24" s="1"/>
  <c r="H3" i="24"/>
  <c r="I3" i="24"/>
  <c r="F3" i="24"/>
  <c r="B11" i="12"/>
  <c r="B12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K5" i="16"/>
  <c r="P3" i="16" s="1"/>
  <c r="K6" i="16"/>
  <c r="G5" i="17"/>
  <c r="F4" i="17"/>
  <c r="E5" i="17"/>
  <c r="G4" i="17"/>
  <c r="E4" i="17"/>
  <c r="F5" i="17"/>
  <c r="I6" i="16"/>
  <c r="G5" i="16"/>
  <c r="H5" i="16"/>
  <c r="J3" i="24"/>
  <c r="G6" i="16"/>
  <c r="J5" i="16"/>
  <c r="O3" i="16" s="1"/>
  <c r="J6" i="16"/>
  <c r="H6" i="16"/>
  <c r="I5" i="16"/>
  <c r="N3" i="16" s="1"/>
  <c r="M3" i="24" l="1"/>
  <c r="B9" i="12" s="1"/>
  <c r="B10" i="12" s="1"/>
  <c r="L3" i="16"/>
  <c r="H3" i="17"/>
  <c r="B4" i="12" s="1"/>
  <c r="I2" i="15"/>
  <c r="K2" i="15" s="1"/>
  <c r="B2" i="12" s="1"/>
  <c r="Q3" i="16" l="1"/>
  <c r="B3" i="12" s="1"/>
  <c r="B5" i="12" s="1"/>
  <c r="B14" i="12" l="1"/>
  <c r="B16" i="12" s="1"/>
</calcChain>
</file>

<file path=xl/sharedStrings.xml><?xml version="1.0" encoding="utf-8"?>
<sst xmlns="http://schemas.openxmlformats.org/spreadsheetml/2006/main" count="120" uniqueCount="78">
  <si>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</si>
  <si>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</si>
  <si>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</si>
  <si>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</si>
  <si>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</si>
  <si>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</si>
  <si>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</si>
  <si>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</si>
  <si>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Miljø- og servicemål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</si>
  <si>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</si>
  <si>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</si>
  <si>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</si>
  <si>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</si>
  <si>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</si>
  <si>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</si>
  <si>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</si>
  <si>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</si>
  <si>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</si>
  <si>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</si>
  <si>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</si>
  <si>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</si>
  <si>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</si>
  <si>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SMS-service</t>
  </si>
  <si>
    <t>Indsats mod oversvømmelser</t>
  </si>
  <si>
    <t xml:space="preserve">Rottefælder/bekæmpelse </t>
  </si>
  <si>
    <t>Svovlbrintebekæmpelse</t>
  </si>
  <si>
    <t xml:space="preserve">Sum 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</si>
  <si>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</si>
  <si>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</si>
  <si>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</si>
  <si>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</si>
  <si>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</si>
  <si>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</si>
  <si>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</si>
  <si>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</si>
  <si>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</si>
  <si>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</si>
  <si>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</si>
  <si>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</si>
  <si>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</si>
  <si>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</si>
  <si>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</si>
  <si>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</si>
  <si>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</si>
  <si>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</si>
  <si>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</si>
  <si>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</si>
  <si>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</si>
  <si>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</si>
  <si>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</si>
  <si>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</si>
  <si>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</si>
  <si>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Ledningsregistrering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</si>
  <si>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</si>
  <si>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</si>
  <si>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</si>
  <si>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</si>
  <si>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</si>
  <si>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</si>
  <si>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</si>
  <si>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</si>
  <si>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</si>
  <si>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</si>
  <si>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</si>
  <si>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</si>
  <si>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</si>
  <si>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</si>
  <si>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</si>
  <si>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</si>
  <si>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</si>
  <si>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</si>
  <si>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</si>
  <si>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</si>
  <si>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</si>
  <si>
    <t>Faktisk indberettede MOGS</t>
  </si>
  <si>
    <t>Pristalsreguleret MOGS</t>
  </si>
  <si>
    <t>MOGS til Grundlaget</t>
  </si>
  <si>
    <t>Faktiske investeringer i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</si>
</sst>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kr.&quot;* #,##0.00_);_(&quot;kr.&quot;* \(#,##0.00\);_(&quot;kr.&quot;* &quot;-&quot;??_);_(@_)"/>
    <numFmt numFmtId="43" formatCode="_(* #,##0.00_);_(* \(#,##0.00\);_(* &quot;-&quot;??_);_(@_)"/>
    <numFmt numFmtId="164" formatCode="_ * #,##0_ ;_ * \-#,##0_ ;_ * &quot;-&quot;??_ ;_ @_ "/>
    <numFmt numFmtId="165" formatCode="\(#,##0\);#,##0_)"/>
    <numFmt numFmtId="166" formatCode="#,##0,_);\(#,##0,\)"/>
    <numFmt numFmtId="167" formatCode="\(#,##0,\);#,##0,_)"/>
    <numFmt numFmtId="168" formatCode="_-* #,##0.00_-;\-* #,##0.00_-;_-* &quot;-&quot;??_-;_-@_-"/>
    <numFmt numFmtId="169" formatCode="\(#,##0.00\);#,##0.00_)"/>
    <numFmt numFmtId="170" formatCode="#,##0_);\(#,##0\);0_);@"/>
    <numFmt numFmtId="171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68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0" fontId="32" fillId="0" borderId="0"/>
    <xf numFmtId="17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5" fontId="24" fillId="0" borderId="21" applyFill="0" applyAlignment="0" applyProtection="0"/>
    <xf numFmtId="166" fontId="24" fillId="0" borderId="21" applyFill="0" applyAlignment="0" applyProtection="0"/>
    <xf numFmtId="167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44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32" fillId="54" borderId="19" applyNumberFormat="0" applyFont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43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43" fontId="6" fillId="0" borderId="0" applyFont="0" applyFill="0" applyBorder="0" applyAlignment="0" applyProtection="0"/>
  </cellStyleXfs>
  <cellXfs count="81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27" xfId="0" applyFont="1" applyBorder="1" applyAlignment="1">
      <alignment wrapText="1"/>
    </xf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4" fontId="3" fillId="0" borderId="24" xfId="0" applyNumberFormat="1" applyFont="1" applyFill="1" applyBorder="1"/>
    <xf numFmtId="0" fontId="0" fillId="0" borderId="0" xfId="0" applyFont="1" applyBorder="1" applyAlignment="1">
      <alignment wrapText="1"/>
    </xf>
    <xf numFmtId="164" fontId="0" fillId="0" borderId="0" xfId="27368" applyNumberFormat="1" applyFont="1"/>
    <xf numFmtId="164" fontId="0" fillId="0" borderId="0" xfId="27368" applyNumberFormat="1" applyFont="1" applyAlignment="1"/>
    <xf numFmtId="164" fontId="3" fillId="0" borderId="1" xfId="27368" applyNumberFormat="1" applyFont="1" applyBorder="1"/>
    <xf numFmtId="164" fontId="0" fillId="0" borderId="0" xfId="27368" applyNumberFormat="1" applyFont="1" applyBorder="1"/>
    <xf numFmtId="164" fontId="3" fillId="0" borderId="0" xfId="27368" applyNumberFormat="1" applyFont="1"/>
    <xf numFmtId="164" fontId="0" fillId="0" borderId="23" xfId="27368" applyNumberFormat="1" applyFont="1" applyBorder="1"/>
    <xf numFmtId="164" fontId="0" fillId="0" borderId="28" xfId="27368" applyNumberFormat="1" applyFont="1" applyFill="1" applyBorder="1"/>
    <xf numFmtId="164" fontId="0" fillId="0" borderId="0" xfId="27368" applyNumberFormat="1" applyFont="1" applyFill="1" applyBorder="1"/>
    <xf numFmtId="164" fontId="0" fillId="0" borderId="23" xfId="27368" applyNumberFormat="1" applyFont="1" applyFill="1" applyBorder="1"/>
    <xf numFmtId="164" fontId="3" fillId="0" borderId="0" xfId="27368" applyNumberFormat="1" applyFont="1" applyFill="1" applyBorder="1"/>
    <xf numFmtId="164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4" fontId="3" fillId="0" borderId="2" xfId="27368" applyNumberFormat="1" applyFont="1" applyBorder="1"/>
    <xf numFmtId="164" fontId="5" fillId="0" borderId="0" xfId="27368" applyNumberFormat="1" applyFont="1"/>
    <xf numFmtId="164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3" fillId="0" borderId="28" xfId="0" applyFont="1" applyBorder="1" applyAlignment="1">
      <alignment wrapText="1"/>
    </xf>
    <xf numFmtId="164" fontId="3" fillId="0" borderId="28" xfId="27368" applyNumberFormat="1" applyFont="1" applyBorder="1"/>
    <xf numFmtId="0" fontId="0" fillId="0" borderId="28" xfId="0" applyBorder="1"/>
    <xf numFmtId="0" fontId="0" fillId="0" borderId="28" xfId="0" applyFont="1" applyBorder="1" applyAlignment="1">
      <alignment wrapText="1"/>
    </xf>
    <xf numFmtId="164" fontId="3" fillId="0" borderId="28" xfId="0" applyNumberFormat="1" applyFont="1" applyBorder="1" applyAlignment="1">
      <alignment wrapText="1"/>
    </xf>
    <xf numFmtId="0" fontId="0" fillId="0" borderId="25" xfId="0" applyFont="1" applyBorder="1" applyAlignment="1">
      <alignment wrapText="1"/>
    </xf>
    <xf numFmtId="164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43" fontId="0" fillId="0" borderId="0" xfId="27368" applyFont="1"/>
    <xf numFmtId="0" fontId="3" fillId="0" borderId="2" xfId="0" applyFont="1" applyBorder="1"/>
    <xf numFmtId="0" fontId="3" fillId="0" borderId="26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4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4" fontId="0" fillId="0" borderId="0" xfId="27368" applyNumberFormat="1" applyFont="1" applyBorder="1" applyAlignment="1">
      <alignment wrapText="1"/>
    </xf>
    <xf numFmtId="164" fontId="3" fillId="0" borderId="26" xfId="0" applyNumberFormat="1" applyFont="1" applyFill="1" applyBorder="1" applyAlignment="1">
      <alignment horizontal="left"/>
    </xf>
    <xf numFmtId="164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4" customFormat="1" ht="15.75" thickBot="1" x14ac:dyDescent="0.3">
      <c r="A1" s="18" t="s">
        <v>6</v>
      </c>
      <c r="B1" s="18" t="s">
        <v>7</v>
      </c>
    </row>
    <row r="2" spans="1:3" x14ac:dyDescent="0.25">
      <c r="A2" s="4" t="s">
        <v>5</v>
      </c>
      <c r="B2" s="35">
        <f>'Faktiske driftsomkostninger'!K2</f>
        <v>13266843.332112007</v>
      </c>
      <c r="C2" t="s">
        <v>11</v>
      </c>
    </row>
    <row r="3" spans="1:3" s="2" customFormat="1" x14ac:dyDescent="0.25">
      <c r="A3" s="5" t="s">
        <v>8</v>
      </c>
      <c r="B3" s="36">
        <f>'Miljø- og servicemål'!Q3</f>
        <v>3796528.1312186308</v>
      </c>
      <c r="C3" t="s">
        <v>11</v>
      </c>
    </row>
    <row r="4" spans="1:3" s="2" customFormat="1" x14ac:dyDescent="0.25">
      <c r="A4" s="5" t="s">
        <v>9</v>
      </c>
      <c r="B4" s="36">
        <f>'Revisorerklæringer mm.'!H3</f>
        <v>88121.76</v>
      </c>
      <c r="C4" t="s">
        <v>11</v>
      </c>
    </row>
    <row r="5" spans="1:3" s="26" customFormat="1" x14ac:dyDescent="0.25">
      <c r="A5" s="3" t="s">
        <v>12</v>
      </c>
      <c r="B5" s="48">
        <f>SUM(B2:B4)</f>
        <v>17151493.223330639</v>
      </c>
      <c r="C5" s="62" t="s">
        <v>11</v>
      </c>
    </row>
    <row r="6" spans="1:3" x14ac:dyDescent="0.25">
      <c r="A6" s="47" t="s">
        <v>0</v>
      </c>
      <c r="B6" s="38">
        <f>Investeringer!E3</f>
        <v>48479834.59135697</v>
      </c>
      <c r="C6" s="23" t="s">
        <v>11</v>
      </c>
    </row>
    <row r="7" spans="1:3" x14ac:dyDescent="0.25">
      <c r="A7" s="4" t="s">
        <v>1</v>
      </c>
      <c r="B7" s="35">
        <f>Investeringer!F3</f>
        <v>6475554.0125298817</v>
      </c>
      <c r="C7" t="s">
        <v>11</v>
      </c>
    </row>
    <row r="8" spans="1:3" x14ac:dyDescent="0.25">
      <c r="A8" s="4" t="s">
        <v>2</v>
      </c>
      <c r="B8" s="35">
        <f>Investeringer!G3</f>
        <v>1500674.9581743928</v>
      </c>
      <c r="C8" t="s">
        <v>11</v>
      </c>
    </row>
    <row r="9" spans="1:3" s="22" customFormat="1" x14ac:dyDescent="0.25">
      <c r="A9" s="4" t="s">
        <v>4</v>
      </c>
      <c r="B9" s="35">
        <f>'Finansielle omkostninger'!M3</f>
        <v>1325485</v>
      </c>
      <c r="C9" t="s">
        <v>11</v>
      </c>
    </row>
    <row r="10" spans="1:3" s="22" customFormat="1" x14ac:dyDescent="0.25">
      <c r="A10" s="3" t="s">
        <v>50</v>
      </c>
      <c r="B10" s="48">
        <f>SUM(B6:B9)</f>
        <v>57781548.562061243</v>
      </c>
      <c r="C10" s="62" t="s">
        <v>11</v>
      </c>
    </row>
    <row r="11" spans="1:3" s="22" customFormat="1" x14ac:dyDescent="0.25">
      <c r="A11" s="4" t="s">
        <v>10</v>
      </c>
      <c r="B11" s="35">
        <f>'Ikke-påvirkelige omkostninger'!M2</f>
        <v>22360062.739999998</v>
      </c>
      <c r="C11" t="s">
        <v>11</v>
      </c>
    </row>
    <row r="12" spans="1:3" s="22" customFormat="1" x14ac:dyDescent="0.25">
      <c r="A12" s="3" t="s">
        <v>71</v>
      </c>
      <c r="B12" s="48">
        <f>SUM(B11:B11)</f>
        <v>22360062.739999998</v>
      </c>
      <c r="C12" s="62" t="s">
        <v>11</v>
      </c>
    </row>
    <row r="13" spans="1:3" x14ac:dyDescent="0.25">
      <c r="A13" s="1"/>
      <c r="B13" s="35"/>
    </row>
    <row r="14" spans="1:3" ht="15.75" thickBot="1" x14ac:dyDescent="0.3">
      <c r="A14" s="27" t="s">
        <v>61</v>
      </c>
      <c r="B14" s="37">
        <f>SUM(B5,B10,B12)</f>
        <v>97293104.525391877</v>
      </c>
      <c r="C14" s="27" t="s">
        <v>3</v>
      </c>
    </row>
    <row r="15" spans="1:3" ht="15.75" thickTop="1" x14ac:dyDescent="0.25"/>
    <row r="16" spans="1:3" ht="15.75" thickBot="1" x14ac:dyDescent="0.3">
      <c r="A16" s="27" t="s">
        <v>55</v>
      </c>
      <c r="B16" s="37">
        <f>B14*Pristalsregulering!C8*Pristalsregulering!C9</f>
        <v>98154317.790443465</v>
      </c>
      <c r="C16" s="27" t="s">
        <v>3</v>
      </c>
    </row>
    <row r="17" spans="2:2" ht="15.75" hidden="1" thickTop="1" x14ac:dyDescent="0.25">
      <c r="B17" s="61"/>
    </row>
    <row r="18" spans="2:2" hidden="1" x14ac:dyDescent="0.25"/>
    <row r="19" spans="2:2" hidden="1" x14ac:dyDescent="0.25"/>
    <row r="20" spans="2:2" hidden="1" x14ac:dyDescent="0.25"/>
    <row r="21" spans="2:2" hidden="1" x14ac:dyDescent="0.25"/>
    <row r="22" spans="2:2" hidden="1" x14ac:dyDescent="0.25"/>
    <row r="23" spans="2:2" hidden="1" x14ac:dyDescent="0.25"/>
    <row r="24" spans="2:2" hidden="1" x14ac:dyDescent="0.25"/>
    <row r="25" spans="2:2" hidden="1" x14ac:dyDescent="0.25"/>
    <row r="26" spans="2:2" hidden="1" x14ac:dyDescent="0.25"/>
    <row r="27" spans="2:2" hidden="1" x14ac:dyDescent="0.25"/>
    <row r="28" spans="2:2" hidden="1" x14ac:dyDescent="0.25"/>
    <row r="29" spans="2:2" hidden="1" x14ac:dyDescent="0.25"/>
    <row r="30" spans="2:2" hidden="1" x14ac:dyDescent="0.25"/>
    <row r="31" spans="2:2" hidden="1" x14ac:dyDescent="0.25"/>
    <row r="32" spans="2: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x14ac:dyDescent="0.25"/>
  </sheetData>
  <sheetProtection password="DFE9" sheet="1" objects="1" scenarios="1"/>
  <hyperlinks>
    <hyperlink ref="A2" location="'Faktiske driftsomkostninger'!A1" display="Faktiske driftsomkostninger"/>
    <hyperlink ref="A3" location="'Miljø- og servicemål'!A1" display="Miljø- og servicemål"/>
    <hyperlink ref="A4" location="'Revisorerklæringer mm.'!A1" display="Revisorerklæringer, medlemskab af brancheforening og øvrige omkostninger"/>
    <hyperlink ref="A11" location="'Ikke-påvirkelige omkostninger'!A1" display="Ikke-påvirkelige omkostninger"/>
    <hyperlink ref="A6" location="'Historiske investeringer'!A1" display="Historiske investeringer"/>
    <hyperlink ref="A7" location="'Gennemførte investeringer'!A1" display="Gennemførte investeringer"/>
    <hyperlink ref="A8" location="'Planlagte investeringer'!A1" display="Planlagte investeringer"/>
    <hyperlink ref="A9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2" bestFit="1" customWidth="1"/>
    <col min="2" max="3" width="15.7109375" style="35" customWidth="1"/>
    <col min="4" max="4" width="22.7109375" style="35" customWidth="1"/>
    <col min="5" max="9" width="15.7109375" style="35" customWidth="1"/>
    <col min="10" max="10" width="29.85546875" style="35" customWidth="1"/>
    <col min="11" max="11" width="44.140625" style="35" customWidth="1"/>
    <col min="12" max="12" width="0" hidden="1" customWidth="1"/>
    <col min="13" max="16384" width="9.140625" hidden="1"/>
  </cols>
  <sheetData>
    <row r="1" spans="1:11" s="60" customFormat="1" ht="60.75" thickBot="1" x14ac:dyDescent="0.3">
      <c r="A1" s="58" t="s">
        <v>13</v>
      </c>
      <c r="B1" s="59" t="s">
        <v>14</v>
      </c>
      <c r="C1" s="59" t="s">
        <v>62</v>
      </c>
      <c r="D1" s="59" t="s">
        <v>63</v>
      </c>
      <c r="E1" s="59" t="s">
        <v>56</v>
      </c>
      <c r="F1" s="52" t="s">
        <v>64</v>
      </c>
      <c r="G1" s="52" t="s">
        <v>72</v>
      </c>
      <c r="H1" s="52" t="s">
        <v>65</v>
      </c>
      <c r="I1" s="52" t="s">
        <v>51</v>
      </c>
      <c r="J1" s="11" t="s">
        <v>66</v>
      </c>
      <c r="K1" s="11" t="s">
        <v>67</v>
      </c>
    </row>
    <row r="2" spans="1:11" s="23" customFormat="1" ht="15.75" thickTop="1" x14ac:dyDescent="0.25">
      <c r="A2" s="28">
        <v>2015</v>
      </c>
      <c r="B2" s="49">
        <v>12540462.65</v>
      </c>
      <c r="C2" s="49">
        <v>191280.01</v>
      </c>
      <c r="D2" s="49">
        <f>B2+C2</f>
        <v>12731742.66</v>
      </c>
      <c r="E2" s="50">
        <f>D2</f>
        <v>12731742.66</v>
      </c>
      <c r="F2" s="49">
        <v>18028031.332112007</v>
      </c>
      <c r="G2" s="49">
        <v>4761188</v>
      </c>
      <c r="H2" s="49">
        <f>F2-G2</f>
        <v>13266843.332112007</v>
      </c>
      <c r="I2" s="49">
        <f>AVERAGEIF(E2:E4,"&lt;&gt;0")</f>
        <v>13818139.8792</v>
      </c>
      <c r="J2" s="49">
        <v>13266843.541466147</v>
      </c>
      <c r="K2" s="39">
        <f>IF(H2&gt;I2,IF(I2&gt;J2,I2,J2),H2)</f>
        <v>13266843.332112007</v>
      </c>
    </row>
    <row r="3" spans="1:11" s="23" customFormat="1" x14ac:dyDescent="0.25">
      <c r="A3" s="28">
        <v>2014</v>
      </c>
      <c r="B3" s="49">
        <v>14892623</v>
      </c>
      <c r="C3" s="49"/>
      <c r="D3" s="49">
        <f t="shared" ref="D3:D4" si="0">B3+C3</f>
        <v>14892623</v>
      </c>
      <c r="E3" s="50">
        <f>D3*Pristalsregulering!C7</f>
        <v>14904537.098399999</v>
      </c>
      <c r="F3" s="49"/>
      <c r="G3" s="49"/>
      <c r="H3" s="49">
        <f t="shared" ref="H3:H4" si="1">F3-G3</f>
        <v>0</v>
      </c>
      <c r="I3" s="49"/>
      <c r="J3" s="49"/>
      <c r="K3" s="35"/>
    </row>
    <row r="4" spans="1:11" x14ac:dyDescent="0.25">
      <c r="A4" s="28">
        <v>2013</v>
      </c>
      <c r="B4" s="49"/>
      <c r="C4" s="49"/>
      <c r="D4" s="49">
        <f t="shared" si="0"/>
        <v>0</v>
      </c>
      <c r="E4" s="50">
        <f>D4*Pristalsregulering!$C$6*Pristalsregulering!$C$7</f>
        <v>0</v>
      </c>
      <c r="F4" s="49"/>
      <c r="G4" s="49"/>
      <c r="H4" s="49">
        <f t="shared" si="1"/>
        <v>0</v>
      </c>
      <c r="I4" s="49"/>
      <c r="J4" s="49"/>
    </row>
    <row r="5" spans="1:11" hidden="1" x14ac:dyDescent="0.25"/>
    <row r="6" spans="1:11" hidden="1" x14ac:dyDescent="0.25"/>
  </sheetData>
  <sheetProtection password="DFE9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MC9"/>
  <sheetViews>
    <sheetView workbookViewId="0"/>
  </sheetViews>
  <sheetFormatPr defaultColWidth="0" defaultRowHeight="15" zeroHeight="1" x14ac:dyDescent="0.25"/>
  <cols>
    <col min="1" max="1" width="12.28515625" customWidth="1"/>
    <col min="2" max="5" width="30.7109375" customWidth="1"/>
    <col min="6" max="6" width="30.7109375" style="22" customWidth="1"/>
    <col min="7" max="7" width="30.7109375" style="55" customWidth="1"/>
    <col min="8" max="10" width="30.7109375" customWidth="1"/>
    <col min="11" max="11" width="30.7109375" style="22" customWidth="1"/>
    <col min="12" max="12" width="30.7109375" style="55" customWidth="1"/>
    <col min="13" max="15" width="30.7109375" customWidth="1"/>
    <col min="16" max="16" width="30.7109375" style="22" customWidth="1"/>
    <col min="17" max="17" width="30.7109375" style="55" customWidth="1"/>
    <col min="18" max="18" width="9.140625" hidden="1" customWidth="1"/>
    <col min="19" max="33" width="0" hidden="1" customWidth="1"/>
    <col min="34" max="34" width="9.140625" hidden="1" customWidth="1"/>
    <col min="35" max="44" width="0" hidden="1" customWidth="1"/>
    <col min="45" max="45" width="9.140625" hidden="1" customWidth="1"/>
    <col min="46" max="60" width="0" hidden="1" customWidth="1"/>
    <col min="61" max="61" width="9.140625" hidden="1" customWidth="1"/>
    <col min="62" max="66" width="0" hidden="1" customWidth="1"/>
    <col min="67" max="67" width="9.140625" hidden="1" customWidth="1"/>
    <col min="68" max="77" width="0" hidden="1" customWidth="1"/>
    <col min="78" max="78" width="9.140625" hidden="1" customWidth="1"/>
    <col min="79" max="83" width="0" hidden="1" customWidth="1"/>
    <col min="84" max="84" width="9.140625" hidden="1" customWidth="1"/>
    <col min="85" max="85" width="0" hidden="1" customWidth="1"/>
    <col min="86" max="86" width="9.140625" hidden="1" customWidth="1"/>
    <col min="87" max="96" width="0" hidden="1" customWidth="1"/>
    <col min="97" max="97" width="9.140625" hidden="1" customWidth="1"/>
    <col min="98" max="102" width="0" hidden="1" customWidth="1"/>
    <col min="103" max="103" width="9.140625" hidden="1" customWidth="1"/>
    <col min="104" max="105" width="0" hidden="1" customWidth="1"/>
    <col min="106" max="106" width="9.140625" hidden="1" customWidth="1"/>
    <col min="107" max="116" width="0" hidden="1" customWidth="1"/>
    <col min="117" max="117" width="9.140625" hidden="1" customWidth="1"/>
    <col min="118" max="122" width="0" hidden="1" customWidth="1"/>
    <col min="123" max="123" width="9.140625" hidden="1" customWidth="1"/>
    <col min="124" max="124" width="0" hidden="1" customWidth="1"/>
    <col min="125" max="125" width="9.140625" hidden="1" customWidth="1"/>
    <col min="126" max="135" width="0" hidden="1" customWidth="1"/>
    <col min="136" max="136" width="9.140625" hidden="1" customWidth="1"/>
    <col min="137" max="141" width="0" hidden="1" customWidth="1"/>
    <col min="142" max="142" width="9.140625" hidden="1" customWidth="1"/>
    <col min="143" max="143" width="0" hidden="1" customWidth="1"/>
    <col min="144" max="144" width="9.140625" hidden="1" customWidth="1"/>
    <col min="145" max="149" width="0" hidden="1" customWidth="1"/>
    <col min="150" max="150" width="9.140625" hidden="1" customWidth="1"/>
    <col min="151" max="151" width="0" hidden="1" customWidth="1"/>
    <col min="152" max="152" width="9.140625" hidden="1" customWidth="1"/>
    <col min="153" max="162" width="0" hidden="1" customWidth="1"/>
    <col min="163" max="163" width="9.140625" hidden="1" customWidth="1"/>
    <col min="164" max="168" width="0" hidden="1" customWidth="1"/>
    <col min="169" max="169" width="9.140625" hidden="1" customWidth="1"/>
    <col min="170" max="174" width="0" hidden="1" customWidth="1"/>
    <col min="175" max="175" width="9.140625" hidden="1" customWidth="1"/>
    <col min="176" max="179" width="0" hidden="1" customWidth="1"/>
    <col min="180" max="180" width="9.140625" hidden="1" customWidth="1"/>
    <col min="181" max="185" width="0" hidden="1" customWidth="1"/>
    <col min="186" max="186" width="9.140625" hidden="1" customWidth="1"/>
    <col min="187" max="191" width="0" hidden="1" customWidth="1"/>
    <col min="192" max="192" width="9.140625" hidden="1" customWidth="1"/>
    <col min="193" max="193" width="0" hidden="1" customWidth="1"/>
    <col min="194" max="194" width="9.140625" hidden="1" customWidth="1"/>
    <col min="195" max="198" width="0" hidden="1" customWidth="1"/>
    <col min="199" max="199" width="9.140625" hidden="1" customWidth="1"/>
    <col min="200" max="204" width="0" hidden="1" customWidth="1"/>
    <col min="205" max="205" width="9.140625" hidden="1" customWidth="1"/>
    <col min="206" max="210" width="0" hidden="1" customWidth="1"/>
    <col min="211" max="211" width="9.140625" hidden="1" customWidth="1"/>
    <col min="212" max="213" width="0" hidden="1" customWidth="1"/>
    <col min="214" max="214" width="9.140625" hidden="1" customWidth="1"/>
    <col min="215" max="218" width="0" hidden="1" customWidth="1"/>
    <col min="219" max="219" width="9.140625" hidden="1" customWidth="1"/>
    <col min="220" max="224" width="0" hidden="1" customWidth="1"/>
    <col min="225" max="225" width="9.140625" hidden="1" customWidth="1"/>
    <col min="226" max="230" width="0" hidden="1" customWidth="1"/>
    <col min="231" max="231" width="9.140625" hidden="1" customWidth="1"/>
    <col min="232" max="232" width="0" hidden="1" customWidth="1"/>
    <col min="233" max="233" width="9.140625" hidden="1" customWidth="1"/>
    <col min="234" max="237" width="0" hidden="1" customWidth="1"/>
    <col min="238" max="238" width="9.140625" hidden="1" customWidth="1"/>
    <col min="239" max="243" width="0" hidden="1" customWidth="1"/>
    <col min="244" max="244" width="9.140625" hidden="1" customWidth="1"/>
    <col min="245" max="249" width="0" hidden="1" customWidth="1"/>
    <col min="250" max="250" width="9.140625" hidden="1" customWidth="1"/>
    <col min="251" max="251" width="0" hidden="1" customWidth="1"/>
    <col min="252" max="252" width="9.140625" hidden="1" customWidth="1"/>
    <col min="253" max="257" width="0" hidden="1" customWidth="1"/>
    <col min="258" max="258" width="9.140625" hidden="1" customWidth="1"/>
    <col min="259" max="259" width="0" hidden="1" customWidth="1"/>
    <col min="260" max="260" width="9.140625" hidden="1" customWidth="1"/>
    <col min="261" max="264" width="0" hidden="1" customWidth="1"/>
    <col min="265" max="265" width="9.140625" hidden="1" customWidth="1"/>
    <col min="266" max="270" width="0" hidden="1" customWidth="1"/>
    <col min="271" max="271" width="9.140625" hidden="1" customWidth="1"/>
    <col min="272" max="276" width="0" hidden="1" customWidth="1"/>
    <col min="277" max="277" width="9.140625" hidden="1" customWidth="1"/>
    <col min="278" max="282" width="0" hidden="1" customWidth="1"/>
    <col min="283" max="283" width="9.140625" hidden="1" customWidth="1"/>
    <col min="284" max="287" width="0" hidden="1" customWidth="1"/>
    <col min="288" max="288" width="9.140625" hidden="1" customWidth="1"/>
    <col min="289" max="293" width="0" hidden="1" customWidth="1"/>
    <col min="294" max="294" width="9.140625" hidden="1" customWidth="1"/>
    <col min="295" max="299" width="0" hidden="1" customWidth="1"/>
    <col min="300" max="300" width="9.140625" hidden="1" customWidth="1"/>
    <col min="301" max="301" width="0" hidden="1" customWidth="1"/>
    <col min="302" max="302" width="9.140625" hidden="1" customWidth="1"/>
    <col min="303" max="306" width="0" hidden="1" customWidth="1"/>
    <col min="307" max="307" width="9.140625" hidden="1" customWidth="1"/>
    <col min="308" max="312" width="0" hidden="1" customWidth="1"/>
    <col min="313" max="313" width="9.140625" hidden="1" customWidth="1"/>
    <col min="314" max="318" width="0" hidden="1" customWidth="1"/>
    <col min="319" max="319" width="9.140625" hidden="1" customWidth="1"/>
    <col min="320" max="322" width="0" hidden="1" customWidth="1"/>
    <col min="323" max="323" width="9.140625" hidden="1" customWidth="1"/>
    <col min="324" max="324" width="0" hidden="1" customWidth="1"/>
    <col min="325" max="325" width="9.140625" hidden="1" customWidth="1"/>
    <col min="326" max="329" width="0" hidden="1" customWidth="1"/>
    <col min="330" max="330" width="9.140625" hidden="1" customWidth="1"/>
    <col min="331" max="335" width="0" hidden="1" customWidth="1"/>
    <col min="336" max="336" width="9.140625" hidden="1" customWidth="1"/>
    <col min="337" max="341" width="0" hidden="1" customWidth="1"/>
    <col min="342" max="16384" width="9.140625" hidden="1"/>
  </cols>
  <sheetData>
    <row r="1" spans="1:17" s="27" customFormat="1" ht="15.75" thickBot="1" x14ac:dyDescent="0.3">
      <c r="A1" s="9"/>
      <c r="B1" s="33" t="s">
        <v>74</v>
      </c>
      <c r="C1" s="33"/>
      <c r="D1" s="33"/>
      <c r="E1" s="33"/>
      <c r="F1" s="33"/>
      <c r="G1" s="63" t="s">
        <v>75</v>
      </c>
      <c r="H1" s="10"/>
      <c r="I1" s="10"/>
      <c r="J1" s="10"/>
      <c r="K1" s="10"/>
      <c r="L1" s="63" t="s">
        <v>76</v>
      </c>
      <c r="M1" s="10"/>
      <c r="N1" s="10"/>
      <c r="O1" s="10"/>
      <c r="P1" s="10"/>
      <c r="Q1" s="63"/>
    </row>
    <row r="2" spans="1:17" ht="15.75" thickTop="1" x14ac:dyDescent="0.25">
      <c r="A2" s="17" t="s">
        <v>13</v>
      </c>
      <c r="B2" s="34" t="s">
        <v>22</v>
      </c>
      <c r="C2" s="34" t="s">
        <v>23</v>
      </c>
      <c r="D2" s="34" t="s">
        <v>24</v>
      </c>
      <c r="E2" s="34" t="s">
        <v>25</v>
      </c>
      <c r="F2" s="34" t="s">
        <v>52</v>
      </c>
      <c r="G2" s="56" t="s">
        <v>22</v>
      </c>
      <c r="H2" s="34" t="s">
        <v>23</v>
      </c>
      <c r="I2" s="34" t="s">
        <v>24</v>
      </c>
      <c r="J2" s="34" t="s">
        <v>25</v>
      </c>
      <c r="K2" s="34" t="s">
        <v>52</v>
      </c>
      <c r="L2" s="56" t="s">
        <v>22</v>
      </c>
      <c r="M2" s="34" t="s">
        <v>23</v>
      </c>
      <c r="N2" s="34" t="s">
        <v>24</v>
      </c>
      <c r="O2" s="34" t="s">
        <v>25</v>
      </c>
      <c r="P2" s="34" t="s">
        <v>52</v>
      </c>
      <c r="Q2" s="53" t="s">
        <v>26</v>
      </c>
    </row>
    <row r="3" spans="1:17" s="22" customFormat="1" x14ac:dyDescent="0.25">
      <c r="A3" s="28">
        <v>2016</v>
      </c>
      <c r="B3" s="72">
        <v>9000.2000000000007</v>
      </c>
      <c r="C3" s="72">
        <v>0</v>
      </c>
      <c r="D3" s="72">
        <v>0</v>
      </c>
      <c r="E3" s="72">
        <v>0</v>
      </c>
      <c r="F3" s="72">
        <v>0</v>
      </c>
      <c r="G3" s="45">
        <f>B3/Pristalsregulering!$C$8</f>
        <v>9034.5312186307983</v>
      </c>
      <c r="H3" s="35">
        <f>C3/Pristalsregulering!$C$8</f>
        <v>0</v>
      </c>
      <c r="I3" s="35">
        <f>D3/Pristalsregulering!$C$8</f>
        <v>0</v>
      </c>
      <c r="J3" s="35">
        <f>E3/Pristalsregulering!$C$8</f>
        <v>0</v>
      </c>
      <c r="K3" s="35">
        <f>F3/Pristalsregulering!$C$8</f>
        <v>0</v>
      </c>
      <c r="L3" s="45">
        <f>IF(G4=0,0,AVERAGEIF(G4:G6,"&lt;&gt;0"))+G3</f>
        <v>9034.5312186307983</v>
      </c>
      <c r="M3" s="38">
        <f>IF(H4=0,0,AVERAGEIF(H4:H6,"&lt;&gt;0"))+H3</f>
        <v>0</v>
      </c>
      <c r="N3" s="38">
        <f>IF(I4=0,0,AVERAGEIF(I4:I6,"&lt;&gt;0"))+I3</f>
        <v>114361.60000000001</v>
      </c>
      <c r="O3" s="38">
        <f>IF(J4=0,0,AVERAGEIF(J4:J6,"&lt;&gt;0"))+J3</f>
        <v>316318</v>
      </c>
      <c r="P3" s="38">
        <f>IF(K4=0,0,AVERAGEIF(K4:K6,"&lt;&gt;0"))+K3</f>
        <v>3356814</v>
      </c>
      <c r="Q3" s="57">
        <f>SUM(L3:P3)</f>
        <v>3796528.1312186308</v>
      </c>
    </row>
    <row r="4" spans="1:17" x14ac:dyDescent="0.25">
      <c r="A4" s="28">
        <v>2015</v>
      </c>
      <c r="B4" s="35"/>
      <c r="C4" s="35"/>
      <c r="D4" s="35">
        <v>114361.60000000001</v>
      </c>
      <c r="E4" s="35">
        <v>316318</v>
      </c>
      <c r="F4" s="35">
        <v>3356814</v>
      </c>
      <c r="G4" s="45">
        <f t="shared" ref="G4:K4" si="0">B4</f>
        <v>0</v>
      </c>
      <c r="H4" s="35">
        <f t="shared" si="0"/>
        <v>0</v>
      </c>
      <c r="I4" s="35">
        <f t="shared" si="0"/>
        <v>114361.60000000001</v>
      </c>
      <c r="J4" s="35">
        <f t="shared" si="0"/>
        <v>316318</v>
      </c>
      <c r="K4" s="35">
        <f t="shared" si="0"/>
        <v>3356814</v>
      </c>
      <c r="L4" s="45"/>
      <c r="M4" s="38"/>
      <c r="N4" s="38"/>
      <c r="O4" s="38"/>
      <c r="P4" s="38"/>
      <c r="Q4" s="54"/>
    </row>
    <row r="5" spans="1:17" x14ac:dyDescent="0.25">
      <c r="A5" s="28">
        <v>2014</v>
      </c>
      <c r="B5" s="35"/>
      <c r="C5" s="35">
        <v>3086334</v>
      </c>
      <c r="D5" s="35"/>
      <c r="E5" s="35"/>
      <c r="F5" s="35"/>
      <c r="G5" s="45">
        <f>B5*Pristalsregulering!$C$7</f>
        <v>0</v>
      </c>
      <c r="H5" s="35">
        <f>C5*Pristalsregulering!$C$7</f>
        <v>3088803.0671999999</v>
      </c>
      <c r="I5" s="35">
        <f>D5*Pristalsregulering!$C$7</f>
        <v>0</v>
      </c>
      <c r="J5" s="35">
        <f>E5*Pristalsregulering!$C$7</f>
        <v>0</v>
      </c>
      <c r="K5" s="35">
        <f>F5*Pristalsregulering!$C$7</f>
        <v>0</v>
      </c>
      <c r="L5" s="45"/>
      <c r="M5" s="35"/>
      <c r="N5" s="35"/>
      <c r="O5" s="35"/>
      <c r="P5" s="38"/>
      <c r="Q5" s="45"/>
    </row>
    <row r="6" spans="1:17" x14ac:dyDescent="0.25">
      <c r="A6" s="28">
        <v>2013</v>
      </c>
      <c r="B6" s="35"/>
      <c r="C6" s="35"/>
      <c r="D6" s="35"/>
      <c r="E6" s="35"/>
      <c r="F6" s="35"/>
      <c r="G6" s="45">
        <f>B6*Pristalsregulering!$C$7*Pristalsregulering!$C$6</f>
        <v>0</v>
      </c>
      <c r="H6" s="35">
        <f>C6*Pristalsregulering!$C$7*Pristalsregulering!$C$6</f>
        <v>0</v>
      </c>
      <c r="I6" s="35">
        <f>D6*Pristalsregulering!$C$7*Pristalsregulering!$C$6</f>
        <v>0</v>
      </c>
      <c r="J6" s="35">
        <f>E6*Pristalsregulering!$C$7*Pristalsregulering!$C$6</f>
        <v>0</v>
      </c>
      <c r="K6" s="35">
        <f>F6*Pristalsregulering!$C$7*Pristalsregulering!$C$6</f>
        <v>0</v>
      </c>
      <c r="L6" s="45"/>
      <c r="M6" s="35"/>
      <c r="N6" s="35"/>
      <c r="O6" s="35"/>
      <c r="P6" s="38"/>
      <c r="Q6" s="45"/>
    </row>
    <row r="7" spans="1:17" hidden="1" x14ac:dyDescent="0.25"/>
    <row r="8" spans="1:17" hidden="1" x14ac:dyDescent="0.25"/>
    <row r="9" spans="1:17" hidden="1" x14ac:dyDescent="0.25"/>
  </sheetData>
  <sheetProtection password="DFE9" sheet="1" objects="1" scenarios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16.140625" style="25" bestFit="1" customWidth="1"/>
    <col min="3" max="3" width="24.28515625" style="25" bestFit="1" customWidth="1"/>
    <col min="4" max="4" width="15.7109375" style="25" customWidth="1"/>
    <col min="5" max="5" width="16.140625" style="25" bestFit="1" customWidth="1"/>
    <col min="6" max="6" width="24.28515625" style="25" bestFit="1" customWidth="1"/>
    <col min="7" max="8" width="15.7109375" style="25" customWidth="1"/>
    <col min="9" max="9" width="9.140625" style="25" hidden="1" customWidth="1"/>
    <col min="10" max="16384" width="9.140625" style="25" hidden="1"/>
  </cols>
  <sheetData>
    <row r="1" spans="1:8" ht="15.75" thickBot="1" x14ac:dyDescent="0.3">
      <c r="A1" s="30"/>
      <c r="B1" s="73" t="s">
        <v>27</v>
      </c>
      <c r="C1" s="74"/>
      <c r="D1" s="74"/>
      <c r="E1" s="75" t="s">
        <v>57</v>
      </c>
      <c r="F1" s="76"/>
      <c r="G1" s="77"/>
      <c r="H1" s="29"/>
    </row>
    <row r="2" spans="1:8" s="21" customFormat="1" ht="15.75" thickTop="1" x14ac:dyDescent="0.25">
      <c r="A2" s="19" t="s">
        <v>13</v>
      </c>
      <c r="B2" s="16" t="s">
        <v>28</v>
      </c>
      <c r="C2" s="20" t="s">
        <v>29</v>
      </c>
      <c r="D2" s="20" t="s">
        <v>30</v>
      </c>
      <c r="E2" s="16" t="s">
        <v>28</v>
      </c>
      <c r="F2" s="20" t="s">
        <v>29</v>
      </c>
      <c r="G2" s="46" t="s">
        <v>30</v>
      </c>
      <c r="H2" s="6" t="s">
        <v>32</v>
      </c>
    </row>
    <row r="3" spans="1:8" x14ac:dyDescent="0.25">
      <c r="A3" s="31">
        <v>2015</v>
      </c>
      <c r="B3" s="41">
        <v>20000</v>
      </c>
      <c r="C3" s="42">
        <v>51760</v>
      </c>
      <c r="D3" s="42">
        <v>0</v>
      </c>
      <c r="E3" s="41">
        <f>B3</f>
        <v>20000</v>
      </c>
      <c r="F3" s="42">
        <f t="shared" ref="F3:G3" si="0">C3</f>
        <v>51760</v>
      </c>
      <c r="G3" s="43">
        <f t="shared" si="0"/>
        <v>0</v>
      </c>
      <c r="H3" s="44">
        <f>IF(E3=0,0,AVERAGEIF(E3:E5,"&lt;&gt;0"))+IF(F3=0,0,AVERAGEIF(F3:F5,"&lt;&gt;0"))+IF(G3=0,0,AVERAGEIF(G3:G5,"&lt;&gt;0"))</f>
        <v>88121.76</v>
      </c>
    </row>
    <row r="4" spans="1:8" x14ac:dyDescent="0.25">
      <c r="A4" s="31">
        <v>2014</v>
      </c>
      <c r="B4" s="41">
        <v>26000</v>
      </c>
      <c r="C4" s="42">
        <v>78400</v>
      </c>
      <c r="D4" s="42">
        <v>0</v>
      </c>
      <c r="E4" s="41">
        <f>B4*Pristalsregulering!$C$7</f>
        <v>26020.799999999999</v>
      </c>
      <c r="F4" s="42">
        <f>C4*Pristalsregulering!$C$7</f>
        <v>78462.719999999987</v>
      </c>
      <c r="G4" s="43">
        <f>D4*Pristalsregulering!$C$7</f>
        <v>0</v>
      </c>
      <c r="H4" s="42"/>
    </row>
    <row r="5" spans="1:8" x14ac:dyDescent="0.25">
      <c r="A5" s="31">
        <v>2013</v>
      </c>
      <c r="B5" s="41"/>
      <c r="C5" s="42"/>
      <c r="D5" s="42">
        <v>0</v>
      </c>
      <c r="E5" s="41">
        <f>B5*Pristalsregulering!$C$7*Pristalsregulering!$C$6</f>
        <v>0</v>
      </c>
      <c r="F5" s="42">
        <f>C5*Pristalsregulering!$C$7*Pristalsregulering!$C$6</f>
        <v>0</v>
      </c>
      <c r="G5" s="43">
        <f>D5*Pristalsregulering!$C$7*Pristalsregulering!$C$6</f>
        <v>0</v>
      </c>
      <c r="H5" s="42"/>
    </row>
    <row r="6" spans="1:8" hidden="1" x14ac:dyDescent="0.25"/>
    <row r="7" spans="1:8" hidden="1" x14ac:dyDescent="0.25"/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2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6.5703125" bestFit="1" customWidth="1"/>
    <col min="8" max="16384" width="9.140625" hidden="1"/>
  </cols>
  <sheetData>
    <row r="1" spans="1:7" s="22" customFormat="1" ht="15.75" thickBot="1" x14ac:dyDescent="0.3">
      <c r="A1" s="71"/>
      <c r="B1" s="76" t="s">
        <v>69</v>
      </c>
      <c r="C1" s="76"/>
      <c r="D1" s="77"/>
      <c r="E1" s="78" t="s">
        <v>70</v>
      </c>
      <c r="F1" s="78"/>
      <c r="G1" s="78"/>
    </row>
    <row r="2" spans="1:7" s="22" customFormat="1" ht="15.75" thickTop="1" x14ac:dyDescent="0.25">
      <c r="A2" s="69" t="s">
        <v>13</v>
      </c>
      <c r="B2" s="23" t="s">
        <v>68</v>
      </c>
      <c r="C2" s="23" t="s">
        <v>1</v>
      </c>
      <c r="D2" s="28" t="s">
        <v>77</v>
      </c>
      <c r="E2" s="22" t="s">
        <v>0</v>
      </c>
      <c r="F2" s="22" t="s">
        <v>1</v>
      </c>
      <c r="G2" s="22" t="s">
        <v>77</v>
      </c>
    </row>
    <row r="3" spans="1:7" s="22" customFormat="1" x14ac:dyDescent="0.25">
      <c r="A3" s="70">
        <v>2015</v>
      </c>
      <c r="B3" s="38">
        <v>44530064</v>
      </c>
      <c r="C3" s="38">
        <v>6305299.6852900628</v>
      </c>
      <c r="D3" s="40">
        <v>1494972.3933333301</v>
      </c>
      <c r="E3" s="35">
        <f>B3*Pristalsregulering!C2*Pristalsregulering!C3*Pristalsregulering!C4*Pristalsregulering!C5*Pristalsregulering!C6*Pristalsregulering!C7</f>
        <v>48479834.59135697</v>
      </c>
      <c r="F3" s="35">
        <v>6475554.0125298817</v>
      </c>
      <c r="G3" s="35">
        <f xml:space="preserve"> D3/Pristalsregulering!$C$8</f>
        <v>1500674.9581743928</v>
      </c>
    </row>
    <row r="4" spans="1:7" s="22" customFormat="1" hidden="1" x14ac:dyDescent="0.25">
      <c r="A4" s="23"/>
      <c r="B4" s="23"/>
      <c r="C4" s="23"/>
      <c r="D4" s="23"/>
    </row>
    <row r="5" spans="1:7" s="26" customFormat="1" hidden="1" x14ac:dyDescent="0.25">
      <c r="A5" s="6"/>
      <c r="B5" s="6"/>
      <c r="C5" s="6"/>
      <c r="D5" s="32"/>
    </row>
    <row r="6" spans="1:7" hidden="1" x14ac:dyDescent="0.25">
      <c r="A6" s="25"/>
      <c r="B6" s="68"/>
      <c r="C6" s="42"/>
      <c r="D6" s="23"/>
    </row>
    <row r="7" spans="1:7" hidden="1" x14ac:dyDescent="0.25">
      <c r="A7" s="25"/>
      <c r="B7" s="25"/>
      <c r="C7" s="25"/>
      <c r="D7" s="23"/>
    </row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8" customWidth="1"/>
    <col min="6" max="7" width="15.7109375" customWidth="1"/>
    <col min="8" max="8" width="18.140625" bestFit="1" customWidth="1"/>
    <col min="9" max="9" width="15.7109375" style="28" customWidth="1"/>
    <col min="10" max="11" width="15.7109375" customWidth="1"/>
    <col min="12" max="12" width="15.7109375" style="28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30"/>
      <c r="B1" s="73" t="s">
        <v>43</v>
      </c>
      <c r="C1" s="74"/>
      <c r="D1" s="74"/>
      <c r="E1" s="74"/>
      <c r="F1" s="75" t="s">
        <v>58</v>
      </c>
      <c r="G1" s="76"/>
      <c r="H1" s="76"/>
      <c r="I1" s="76"/>
      <c r="J1" s="79" t="s">
        <v>32</v>
      </c>
      <c r="K1" s="78"/>
      <c r="L1" s="80"/>
      <c r="M1" s="13"/>
    </row>
    <row r="2" spans="1:14" s="26" customFormat="1" ht="15.75" thickTop="1" x14ac:dyDescent="0.25">
      <c r="A2" s="19" t="s">
        <v>13</v>
      </c>
      <c r="B2" s="8" t="s">
        <v>44</v>
      </c>
      <c r="C2" s="7" t="s">
        <v>45</v>
      </c>
      <c r="D2" s="7" t="s">
        <v>46</v>
      </c>
      <c r="E2" s="51" t="s">
        <v>47</v>
      </c>
      <c r="F2" s="7" t="s">
        <v>44</v>
      </c>
      <c r="G2" s="7" t="s">
        <v>45</v>
      </c>
      <c r="H2" s="7" t="s">
        <v>46</v>
      </c>
      <c r="I2" s="51" t="s">
        <v>47</v>
      </c>
      <c r="J2" s="20" t="s">
        <v>48</v>
      </c>
      <c r="K2" s="20" t="s">
        <v>45</v>
      </c>
      <c r="L2" s="15" t="s">
        <v>73</v>
      </c>
      <c r="M2" s="6" t="s">
        <v>31</v>
      </c>
      <c r="N2" s="32"/>
    </row>
    <row r="3" spans="1:14" x14ac:dyDescent="0.25">
      <c r="A3" s="28">
        <v>2015</v>
      </c>
      <c r="B3" s="45">
        <v>0</v>
      </c>
      <c r="C3" s="38">
        <v>1325485</v>
      </c>
      <c r="D3" s="38">
        <v>0</v>
      </c>
      <c r="E3" s="40">
        <v>0</v>
      </c>
      <c r="F3" s="38">
        <f>B3</f>
        <v>0</v>
      </c>
      <c r="G3" s="38">
        <f>C3</f>
        <v>1325485</v>
      </c>
      <c r="H3" s="38">
        <f>D3</f>
        <v>0</v>
      </c>
      <c r="I3" s="40">
        <f>E3</f>
        <v>0</v>
      </c>
      <c r="J3" s="42">
        <f>AVERAGE(F3:F5)</f>
        <v>0</v>
      </c>
      <c r="K3" s="42">
        <f>G3</f>
        <v>1325485</v>
      </c>
      <c r="L3" s="43">
        <f>AVERAGE(H3:H5)+AVERAGE(I3:I5)</f>
        <v>0</v>
      </c>
      <c r="M3" s="44">
        <f>SUM(J3:L3)</f>
        <v>1325485</v>
      </c>
      <c r="N3" s="23"/>
    </row>
    <row r="4" spans="1:14" x14ac:dyDescent="0.25">
      <c r="A4" s="28">
        <v>2014</v>
      </c>
      <c r="B4" s="45">
        <v>0</v>
      </c>
      <c r="C4" s="38">
        <v>1195474</v>
      </c>
      <c r="D4" s="38">
        <v>0</v>
      </c>
      <c r="E4" s="40">
        <v>0</v>
      </c>
      <c r="F4" s="38">
        <f>IF(B4="","",B4*Pristalsregulering!$C$7)</f>
        <v>0</v>
      </c>
      <c r="G4" s="38">
        <f>IF(C4="","",C4*Pristalsregulering!$C$7)</f>
        <v>1196430.3791999999</v>
      </c>
      <c r="H4" s="38">
        <f>IF(D4="","",D4*Pristalsregulering!$C$7)</f>
        <v>0</v>
      </c>
      <c r="I4" s="40">
        <f>IF(E4="","",E4*Pristalsregulering!$C$7)</f>
        <v>0</v>
      </c>
      <c r="J4" s="38"/>
      <c r="L4" s="40"/>
      <c r="M4" s="35"/>
    </row>
    <row r="5" spans="1:14" x14ac:dyDescent="0.25">
      <c r="A5" s="28">
        <v>2013</v>
      </c>
      <c r="B5" s="45"/>
      <c r="C5" s="38"/>
      <c r="D5" s="38"/>
      <c r="E5" s="40"/>
      <c r="F5" s="38" t="str">
        <f>IF(B5="","",B5*Pristalsregulering!$C$7*Pristalsregulering!$C$6)</f>
        <v/>
      </c>
      <c r="G5" s="38" t="str">
        <f>IF(C5="","",C5*Pristalsregulering!$C$7*Pristalsregulering!$C$6)</f>
        <v/>
      </c>
      <c r="H5" s="38" t="str">
        <f>IF(D5="","",D5*Pristalsregulering!$C$7*Pristalsregulering!$C$6)</f>
        <v/>
      </c>
      <c r="I5" s="40" t="str">
        <f>IF(E5="","",E5*Pristalsregulering!$C$7*Pristalsregulering!$C$6)</f>
        <v/>
      </c>
      <c r="J5" s="35"/>
      <c r="L5" s="40"/>
      <c r="M5" s="35"/>
    </row>
  </sheetData>
  <sheetProtection password="DFE9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34.28515625" style="25" bestFit="1" customWidth="1"/>
    <col min="3" max="3" width="24" style="25" bestFit="1" customWidth="1"/>
    <col min="4" max="4" width="16.42578125" style="25" bestFit="1" customWidth="1"/>
    <col min="5" max="5" width="23.7109375" style="25" bestFit="1" customWidth="1"/>
    <col min="6" max="6" width="15.7109375" style="25" customWidth="1"/>
    <col min="7" max="7" width="25" style="25" bestFit="1" customWidth="1"/>
    <col min="8" max="8" width="16.5703125" style="25" bestFit="1" customWidth="1"/>
    <col min="9" max="9" width="51.7109375" style="25" bestFit="1" customWidth="1"/>
    <col min="10" max="10" width="44.5703125" style="25" bestFit="1" customWidth="1"/>
    <col min="11" max="11" width="44.5703125" style="25" customWidth="1"/>
    <col min="12" max="12" width="16.85546875" style="31" bestFit="1" customWidth="1"/>
    <col min="13" max="13" width="15.7109375" style="25" customWidth="1"/>
    <col min="14" max="17" width="0" style="25" hidden="1" customWidth="1"/>
    <col min="18" max="16384" width="9.140625" style="25" hidden="1"/>
  </cols>
  <sheetData>
    <row r="1" spans="1:13" s="21" customFormat="1" ht="15.75" thickBot="1" x14ac:dyDescent="0.3">
      <c r="A1" s="12" t="s">
        <v>13</v>
      </c>
      <c r="B1" s="66" t="s">
        <v>33</v>
      </c>
      <c r="C1" s="66" t="s">
        <v>34</v>
      </c>
      <c r="D1" s="66" t="s">
        <v>35</v>
      </c>
      <c r="E1" s="66" t="s">
        <v>36</v>
      </c>
      <c r="F1" s="66" t="s">
        <v>37</v>
      </c>
      <c r="G1" s="66" t="s">
        <v>38</v>
      </c>
      <c r="H1" s="66" t="s">
        <v>39</v>
      </c>
      <c r="I1" s="66" t="s">
        <v>40</v>
      </c>
      <c r="J1" s="66" t="s">
        <v>41</v>
      </c>
      <c r="K1" s="66" t="s">
        <v>59</v>
      </c>
      <c r="L1" s="67" t="s">
        <v>42</v>
      </c>
      <c r="M1" s="14" t="s">
        <v>31</v>
      </c>
    </row>
    <row r="2" spans="1:13" ht="15.75" thickTop="1" x14ac:dyDescent="0.25">
      <c r="A2" s="31">
        <v>2015</v>
      </c>
      <c r="B2" s="42">
        <v>32522.74</v>
      </c>
      <c r="C2" s="42">
        <v>0</v>
      </c>
      <c r="D2" s="42">
        <v>0</v>
      </c>
      <c r="E2" s="42">
        <v>20678886</v>
      </c>
      <c r="F2" s="42">
        <v>1648654</v>
      </c>
      <c r="G2" s="42">
        <v>0</v>
      </c>
      <c r="H2" s="42">
        <v>0</v>
      </c>
      <c r="I2" s="42">
        <v>0</v>
      </c>
      <c r="J2" s="42"/>
      <c r="K2" s="42"/>
      <c r="L2" s="43">
        <v>0</v>
      </c>
      <c r="M2" s="44">
        <f>SUM(B2:L2)</f>
        <v>22360062.739999998</v>
      </c>
    </row>
    <row r="3" spans="1:13" hidden="1" x14ac:dyDescent="0.25">
      <c r="B3" s="25">
        <v>32490</v>
      </c>
      <c r="C3" s="25">
        <v>0</v>
      </c>
      <c r="D3" s="25">
        <v>0</v>
      </c>
      <c r="E3" s="25">
        <v>0</v>
      </c>
      <c r="F3" s="25">
        <v>210959</v>
      </c>
      <c r="G3" s="25">
        <v>1661218</v>
      </c>
      <c r="H3" s="25" t="s">
        <v>49</v>
      </c>
    </row>
    <row r="4" spans="1:13" hidden="1" x14ac:dyDescent="0.25">
      <c r="B4" s="25">
        <v>32328</v>
      </c>
      <c r="C4" s="25">
        <v>0</v>
      </c>
      <c r="D4" s="25">
        <v>0</v>
      </c>
      <c r="E4" s="25">
        <v>0</v>
      </c>
      <c r="F4" s="25">
        <v>0</v>
      </c>
      <c r="G4" s="25">
        <v>1602946</v>
      </c>
      <c r="H4" s="25" t="s">
        <v>49</v>
      </c>
    </row>
    <row r="5" spans="1:13" hidden="1" x14ac:dyDescent="0.25">
      <c r="B5" s="25" t="e">
        <v>#N/A</v>
      </c>
      <c r="C5" s="25" t="e">
        <v>#N/A</v>
      </c>
      <c r="D5" s="25" t="e">
        <v>#N/A</v>
      </c>
      <c r="E5" s="25" t="e">
        <v>#N/A</v>
      </c>
      <c r="F5" s="25" t="e">
        <v>#N/A</v>
      </c>
      <c r="G5" s="25" t="e">
        <v>#N/A</v>
      </c>
      <c r="H5" s="25" t="e">
        <v>#N/A</v>
      </c>
      <c r="I5" s="25" t="e">
        <v>#N/A</v>
      </c>
      <c r="J5" s="25" t="e">
        <v>#N/A</v>
      </c>
    </row>
  </sheetData>
  <sheetProtection password="DFE9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2" bestFit="1" customWidth="1"/>
    <col min="2" max="2" width="12.42578125" style="22" bestFit="1" customWidth="1"/>
    <col min="3" max="3" width="15.42578125" style="22" bestFit="1" customWidth="1"/>
    <col min="4" max="4" width="0" style="22" hidden="1" customWidth="1"/>
    <col min="5" max="16384" width="9.140625" style="22" hidden="1"/>
  </cols>
  <sheetData>
    <row r="1" spans="1:4" ht="15.75" thickBot="1" x14ac:dyDescent="0.3">
      <c r="A1" s="9" t="s">
        <v>13</v>
      </c>
      <c r="B1" s="10" t="s">
        <v>15</v>
      </c>
      <c r="C1" s="10" t="s">
        <v>16</v>
      </c>
      <c r="D1" s="23"/>
    </row>
    <row r="2" spans="1:4" ht="15.75" thickTop="1" x14ac:dyDescent="0.25">
      <c r="A2" s="64" t="s">
        <v>60</v>
      </c>
      <c r="B2" s="65">
        <v>1.11E-2</v>
      </c>
      <c r="C2" s="23">
        <f t="shared" ref="C2" si="0">1+B2</f>
        <v>1.0111000000000001</v>
      </c>
      <c r="D2" s="23"/>
    </row>
    <row r="3" spans="1:4" x14ac:dyDescent="0.25">
      <c r="A3" s="28" t="s">
        <v>17</v>
      </c>
      <c r="B3" s="23">
        <v>5.0000000000000001E-3</v>
      </c>
      <c r="C3" s="23">
        <f t="shared" ref="C3:C6" si="1">1+B3</f>
        <v>1.0049999999999999</v>
      </c>
      <c r="D3" s="23"/>
    </row>
    <row r="4" spans="1:4" x14ac:dyDescent="0.25">
      <c r="A4" s="28" t="s">
        <v>18</v>
      </c>
      <c r="B4" s="23">
        <v>2.3E-2</v>
      </c>
      <c r="C4" s="23">
        <f t="shared" si="1"/>
        <v>1.0229999999999999</v>
      </c>
      <c r="D4" s="23"/>
    </row>
    <row r="5" spans="1:4" x14ac:dyDescent="0.25">
      <c r="A5" s="28" t="s">
        <v>19</v>
      </c>
      <c r="B5" s="23">
        <v>3.1E-2</v>
      </c>
      <c r="C5" s="23">
        <f t="shared" si="1"/>
        <v>1.0309999999999999</v>
      </c>
      <c r="D5" s="23"/>
    </row>
    <row r="6" spans="1:4" x14ac:dyDescent="0.25">
      <c r="A6" s="28" t="s">
        <v>20</v>
      </c>
      <c r="B6" s="23">
        <v>1.4999999999999999E-2</v>
      </c>
      <c r="C6" s="23">
        <f t="shared" si="1"/>
        <v>1.0149999999999999</v>
      </c>
      <c r="D6" s="23"/>
    </row>
    <row r="7" spans="1:4" x14ac:dyDescent="0.25">
      <c r="A7" s="28" t="s">
        <v>21</v>
      </c>
      <c r="B7" s="23">
        <v>8.0000000000000004E-4</v>
      </c>
      <c r="C7" s="23">
        <f>1+B7</f>
        <v>1.0007999999999999</v>
      </c>
      <c r="D7" s="23"/>
    </row>
    <row r="8" spans="1:4" x14ac:dyDescent="0.25">
      <c r="A8" s="28" t="s">
        <v>53</v>
      </c>
      <c r="B8" s="25">
        <v>-3.8E-3</v>
      </c>
      <c r="C8" s="23">
        <f t="shared" ref="C8:C9" si="2">1+B8</f>
        <v>0.99619999999999997</v>
      </c>
      <c r="D8" s="23"/>
    </row>
    <row r="9" spans="1:4" x14ac:dyDescent="0.25">
      <c r="A9" s="28" t="s">
        <v>54</v>
      </c>
      <c r="B9" s="25">
        <v>1.2699999999999999E-2</v>
      </c>
      <c r="C9" s="23">
        <f t="shared" si="2"/>
        <v>1.0126999999999999</v>
      </c>
    </row>
  </sheetData>
  <sheetProtection password="DFE9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8</vt:i4>
      </vt:variant>
    </vt:vector>
  </HeadingPairs>
  <TitlesOfParts>
    <vt:vector size="8" baseType="lpstr">
      <vt:lpstr>Grundlag</vt:lpstr>
      <vt:lpstr>Faktiske driftsomkostninger</vt:lpstr>
      <vt:lpstr>Miljø- og servicemål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2017-10-13T13:08:01Z</dcterms:modified>
</cp:coreProperties>
</file>