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E9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G20" i="19"/>
  <c r="G21" i="19" s="1"/>
  <c r="E11" i="2" s="1"/>
  <c r="F52" i="11" l="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E10" i="15" s="1"/>
  <c r="G12" i="7"/>
  <c r="E9" i="2" l="1"/>
  <c r="E15" i="13"/>
  <c r="F11" i="11"/>
  <c r="F53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54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<sst xmlns="http://schemas.openxmlformats.org/spreadsheetml/2006/main" count="445" uniqueCount="215">
  <si>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</si>
  <si>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</si>
  <si>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</si>
  <si>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</si>
  <si>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</si>
  <si>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</si>
  <si>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</si>
  <si>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</si>
  <si>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</si>
  <si>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</si>
  <si>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</si>
  <si>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</si>
  <si>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</si>
  <si>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</si>
  <si>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</si>
  <si>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</si>
  <si>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</si>
  <si>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</si>
  <si>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</si>
  <si>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</si>
  <si>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</si>
  <si>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</si>
  <si>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</si>
  <si>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</si>
  <si>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</si>
  <si>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</si>
  <si>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</si>
  <si>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</si>
  <si>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</si>
  <si>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</si>
  <si>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</si>
  <si>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</si>
  <si>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</si>
  <si>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</si>
  <si>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</si>
  <si>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</si>
  <si>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</si>
  <si>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</si>
  <si>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</si>
  <si>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</si>
  <si>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</si>
  <si>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</si>
  <si>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</si>
  <si>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</si>
  <si>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</si>
  <si>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</si>
  <si>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</si>
  <si>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</si>
  <si>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</si>
  <si>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</si>
  <si>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</si>
  <si>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</si>
  <si>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</si>
  <si>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</si>
  <si>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</si>
  <si>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</si>
  <si>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</si>
  <si>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</si>
  <si>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</si>
  <si>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</si>
  <si>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</si>
  <si>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</si>
  <si>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</si>
  <si>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</si>
  <si>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</si>
  <si>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</si>
  <si>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</si>
  <si>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</si>
  <si>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</si>
  <si>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</si>
  <si>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</si>
  <si>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</si>
  <si>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</si>
  <si>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</si>
  <si>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</si>
  <si>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</si>
  <si>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</si>
  <si>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</si>
  <si>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</si>
  <si>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</si>
  <si>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</si>
  <si>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</si>
  <si>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</si>
  <si>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</si>
  <si>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</si>
  <si>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</si>
  <si>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</si>
  <si>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</si>
  <si>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</si>
  <si>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</si>
  <si>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</si>
  <si>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</si>
  <si>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</si>
  <si>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</si>
  <si>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</si>
  <si>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</si>
  <si>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</si>
  <si>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</si>
  <si>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</si>
  <si>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</si>
  <si>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</si>
  <si>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</si>
  <si>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</si>
  <si>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</si>
  <si>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</si>
  <si>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</si>
  <si>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</si>
  <si>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</si>
  <si>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</si>
  <si>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</si>
  <si>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</si>
  <si>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</si>
  <si>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</si>
  <si>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</si>
  <si>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</si>
  <si>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</si>
  <si>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</si>
  <si>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</si>
  <si>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</si>
  <si>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</si>
  <si>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</si>
  <si>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</si>
  <si>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</si>
  <si>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</si>
  <si>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</si>
  <si>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</si>
  <si>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</si>
  <si>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</si>
  <si>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</si>
  <si>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</si>
  <si>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</si>
  <si>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</si>
  <si>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</si>
  <si>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</si>
  <si>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</si>
  <si>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</si>
  <si>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</si>
  <si>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</si>
  <si>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</si>
  <si>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</si>
  <si>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</si>
  <si>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</si>
  <si>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</si>
  <si>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</si>
  <si>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</si>
  <si>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</si>
  <si>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</si>
  <si>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</si>
  <si>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</si>
  <si>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Forklaring, Konstruktioner</t>
  </si>
  <si>
    <t>Beluftningstanke, Mek/EL</t>
  </si>
  <si>
    <t>Efterklaringstanke, Mek/El</t>
  </si>
  <si>
    <t>Slutafvanding, slam - højteknologisk (centrifuger), Mek/El</t>
  </si>
  <si>
    <t>Slutafvanding, slam - højteknologisk (centrifuger), SRO</t>
  </si>
  <si>
    <t>Strømpeforing ≤ Ø 200 mm</t>
  </si>
  <si>
    <t>Strømpeforing Ø 200 mm &lt; Ledningsnet ≤ Ø 500 mm</t>
  </si>
  <si>
    <t>Strømpeforing Ø 500 mm &lt; Ledningsnet ≤ Ø 800 mm</t>
  </si>
  <si>
    <t>Ledningsnet ≤ Ø 200 mm</t>
  </si>
  <si>
    <t>Ø 500 mm &lt; Ledningsnet ≤ Ø 800 mm</t>
  </si>
  <si>
    <t>Ø 1000 mm &lt; Ledningsnet ≤ Ø 1200 mm</t>
  </si>
  <si>
    <t>Ledningsnet &gt; Ø 1600 mm (rørbassiner og transportledninger)</t>
  </si>
  <si>
    <t>Strømpeforing Ø 1000 mm &lt; Ledningsnet ≤ Ø 1200 mm</t>
  </si>
  <si>
    <t>Stik</t>
  </si>
  <si>
    <t>Brønde</t>
  </si>
  <si>
    <t>Pumpestationer i brønde (&lt; 6,25 m2), Konstruktioner</t>
  </si>
  <si>
    <t>Pumpestationer i brønde (&lt; 6,25 m2), Mek/EL</t>
  </si>
  <si>
    <t>Pumpestationer i brønde (&lt; 6,25 m2), SRO</t>
  </si>
  <si>
    <t>Pumpeinstallation Miljøklasse A (100-300 l/s) - SRO</t>
  </si>
  <si>
    <t>Kælder (&lt; 7 m2)</t>
  </si>
  <si>
    <t>Installationer "mekaniske riste og SRO" Miljøklasse A. (7-20 m2) - Mek/EL</t>
  </si>
  <si>
    <t>Installationer "mekaniske riste og SRO" Miljøklasse A. (7-20 m2) - SRO</t>
  </si>
  <si>
    <t>Installationer "mekaniske riste og SRO" Miljøklasse B. (7-20 m2) - SRO</t>
  </si>
  <si>
    <t>Forsinkelsesbassiner, lukkede med automatisk rensning og SRO Miljøklasse A (500-1.000 m3) - Konstruktioner</t>
  </si>
  <si>
    <t>Forsinkelsesbassiner, lukkede med automatisk rensning og SRO Miljøklasse A (500-1.000 m3) - Mek/EL</t>
  </si>
  <si>
    <t>Forsinkelsesbassiner, lukkede med automatisk rensning og SRO Miljøklasse A (500-1.000 m3) - SRO</t>
  </si>
  <si>
    <t>Jordbassin Klasse B</t>
  </si>
  <si>
    <t>Køretøjer, personbil</t>
  </si>
  <si>
    <t>Mobilt værksted</t>
  </si>
  <si>
    <t>SRO på mindre renseanlæg</t>
  </si>
  <si>
    <t>Strukturanalyse vedr. kapacitetstilpasning af renseanlæg</t>
  </si>
  <si>
    <t>Slutafvanding, slam - højteknologisk (centrifuger), Konstruktioner</t>
  </si>
  <si>
    <t>Slutdisponering, slam - lavteknologisk (slammineralisering),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</si>
  <si>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</si>
  <si>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</si>
  <si>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</si>
  <si>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</si>
  <si>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</si>
  <si>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</si>
  <si>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</si>
  <si>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</si>
  <si>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</si>
  <si>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 xml:space="preserve">Erstatninger 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</si>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</sst>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24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8" fillId="10" borderId="1" xfId="0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 wrapText="1"/>
      <protection locked="0"/>
    </xf>
    <xf numFmtId="0" fontId="8" fillId="10" borderId="10" xfId="0" applyFont="1" applyFill="1" applyBorder="1" applyAlignment="1" applyProtection="1">
      <alignment horizontal="left" wrapText="1"/>
      <protection locked="0"/>
    </xf>
    <xf numFmtId="0" fontId="8" fillId="10" borderId="3" xfId="0" applyFont="1" applyFill="1" applyBorder="1" applyAlignment="1" applyProtection="1">
      <alignment horizontal="left" wrapText="1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70" t="s">
        <v>5</v>
      </c>
      <c r="E6" s="70"/>
      <c r="F6" s="70"/>
      <c r="G6" s="70"/>
      <c r="H6" s="4"/>
      <c r="I6" s="2"/>
    </row>
    <row r="7" spans="1:9" ht="15" customHeight="1" x14ac:dyDescent="0.25">
      <c r="A7" s="2"/>
      <c r="B7" s="2"/>
      <c r="C7" s="4"/>
      <c r="D7" s="70"/>
      <c r="E7" s="70"/>
      <c r="F7" s="70"/>
      <c r="G7" s="70"/>
      <c r="H7" s="4"/>
      <c r="I7" s="2"/>
    </row>
    <row r="8" spans="1:9" ht="15.75" x14ac:dyDescent="0.25">
      <c r="A8" s="2"/>
      <c r="B8" s="2"/>
      <c r="C8" s="5"/>
      <c r="D8" s="75" t="s">
        <v>124</v>
      </c>
      <c r="E8" s="75"/>
      <c r="F8" s="75"/>
      <c r="G8" s="75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74" t="s">
        <v>6</v>
      </c>
      <c r="E11" s="74"/>
      <c r="F11" s="74"/>
      <c r="G11" s="74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67" t="s">
        <v>69</v>
      </c>
      <c r="E13" s="68"/>
      <c r="F13" s="68"/>
      <c r="G13" s="69"/>
      <c r="H13" s="2"/>
      <c r="I13" s="2"/>
    </row>
    <row r="14" spans="1:9" x14ac:dyDescent="0.25">
      <c r="A14" s="2"/>
      <c r="B14" s="2"/>
      <c r="C14" s="7" t="s">
        <v>68</v>
      </c>
      <c r="D14" s="67" t="s">
        <v>70</v>
      </c>
      <c r="E14" s="68"/>
      <c r="F14" s="68"/>
      <c r="G14" s="69"/>
      <c r="H14" s="2"/>
      <c r="I14" s="2"/>
    </row>
    <row r="15" spans="1:9" x14ac:dyDescent="0.25">
      <c r="A15" s="2"/>
      <c r="B15" s="2"/>
      <c r="C15" s="7" t="s">
        <v>8</v>
      </c>
      <c r="D15" s="76" t="s">
        <v>63</v>
      </c>
      <c r="E15" s="77"/>
      <c r="F15" s="77"/>
      <c r="G15" s="78"/>
      <c r="H15" s="2"/>
      <c r="I15" s="2"/>
    </row>
    <row r="16" spans="1:9" x14ac:dyDescent="0.25">
      <c r="A16" s="2"/>
      <c r="B16" s="2"/>
      <c r="C16" s="7" t="s">
        <v>9</v>
      </c>
      <c r="D16" s="76" t="s">
        <v>49</v>
      </c>
      <c r="E16" s="77"/>
      <c r="F16" s="77"/>
      <c r="G16" s="78"/>
      <c r="H16" s="2"/>
      <c r="I16" s="2"/>
    </row>
    <row r="17" spans="1:9" x14ac:dyDescent="0.25">
      <c r="A17" s="2"/>
      <c r="B17" s="2"/>
      <c r="C17" s="7" t="s">
        <v>10</v>
      </c>
      <c r="D17" s="79" t="s">
        <v>15</v>
      </c>
      <c r="E17" s="80"/>
      <c r="F17" s="80"/>
      <c r="G17" s="81"/>
      <c r="H17" s="2"/>
      <c r="I17" s="2"/>
    </row>
    <row r="18" spans="1:9" x14ac:dyDescent="0.25">
      <c r="A18" s="2"/>
      <c r="B18" s="2"/>
      <c r="C18" s="7" t="s">
        <v>11</v>
      </c>
      <c r="D18" s="79" t="s">
        <v>16</v>
      </c>
      <c r="E18" s="80"/>
      <c r="F18" s="80"/>
      <c r="G18" s="81"/>
      <c r="H18" s="2"/>
      <c r="I18" s="2"/>
    </row>
    <row r="19" spans="1:9" x14ac:dyDescent="0.25">
      <c r="A19" s="2"/>
      <c r="B19" s="2"/>
      <c r="C19" s="7" t="s">
        <v>12</v>
      </c>
      <c r="D19" s="82" t="s">
        <v>17</v>
      </c>
      <c r="E19" s="83"/>
      <c r="F19" s="83"/>
      <c r="G19" s="84"/>
      <c r="H19" s="2"/>
      <c r="I19" s="2"/>
    </row>
    <row r="20" spans="1:9" x14ac:dyDescent="0.25">
      <c r="A20" s="2"/>
      <c r="B20" s="2"/>
      <c r="C20" s="7" t="s">
        <v>13</v>
      </c>
      <c r="D20" s="71" t="s">
        <v>75</v>
      </c>
      <c r="E20" s="72"/>
      <c r="F20" s="72"/>
      <c r="G20" s="73"/>
      <c r="H20" s="2"/>
      <c r="I20" s="2"/>
    </row>
    <row r="21" spans="1:9" x14ac:dyDescent="0.25">
      <c r="A21" s="2"/>
      <c r="B21" s="2"/>
      <c r="C21" s="7" t="s">
        <v>14</v>
      </c>
      <c r="D21" s="71" t="s">
        <v>100</v>
      </c>
      <c r="E21" s="72"/>
      <c r="F21" s="72"/>
      <c r="G21" s="73"/>
      <c r="H21" s="2"/>
      <c r="I21" s="2"/>
    </row>
    <row r="22" spans="1:9" x14ac:dyDescent="0.25">
      <c r="A22" s="2"/>
      <c r="B22" s="2"/>
      <c r="C22" s="7" t="s">
        <v>59</v>
      </c>
      <c r="D22" s="61" t="s">
        <v>144</v>
      </c>
      <c r="E22" s="62"/>
      <c r="F22" s="62"/>
      <c r="G22" s="63"/>
      <c r="H22" s="2"/>
      <c r="I22" s="2"/>
    </row>
    <row r="23" spans="1:9" x14ac:dyDescent="0.25">
      <c r="A23" s="2"/>
      <c r="B23" s="2"/>
      <c r="C23" s="7" t="s">
        <v>66</v>
      </c>
      <c r="D23" s="64" t="s">
        <v>65</v>
      </c>
      <c r="E23" s="65"/>
      <c r="F23" s="65"/>
      <c r="G23" s="66"/>
      <c r="H23" s="2"/>
      <c r="I23" s="2"/>
    </row>
    <row r="24" spans="1:9" x14ac:dyDescent="0.25">
      <c r="A24" s="2"/>
      <c r="B24" s="2"/>
      <c r="C24" s="7" t="s">
        <v>67</v>
      </c>
      <c r="D24" s="64" t="s">
        <v>64</v>
      </c>
      <c r="E24" s="65"/>
      <c r="F24" s="65"/>
      <c r="G24" s="66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07" t="s">
        <v>77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04" t="s">
        <v>203</v>
      </c>
      <c r="C8" s="105"/>
      <c r="D8" s="105"/>
      <c r="E8" s="105"/>
      <c r="F8" s="105"/>
      <c r="G8" s="105"/>
      <c r="H8" s="106"/>
      <c r="I8" s="2"/>
    </row>
    <row r="9" spans="1:9" x14ac:dyDescent="0.25">
      <c r="A9" s="2"/>
      <c r="B9" s="100" t="s">
        <v>80</v>
      </c>
      <c r="C9" s="89"/>
      <c r="D9" s="89"/>
      <c r="E9" s="89"/>
      <c r="F9" s="90"/>
      <c r="G9" s="27">
        <v>4277268</v>
      </c>
      <c r="H9" s="23" t="s">
        <v>4</v>
      </c>
      <c r="I9" s="2"/>
    </row>
    <row r="10" spans="1:9" x14ac:dyDescent="0.25">
      <c r="A10" s="2"/>
      <c r="B10" s="100" t="s">
        <v>81</v>
      </c>
      <c r="C10" s="89"/>
      <c r="D10" s="89"/>
      <c r="E10" s="89"/>
      <c r="F10" s="90"/>
      <c r="G10" s="27">
        <v>5741000</v>
      </c>
      <c r="H10" s="23" t="s">
        <v>4</v>
      </c>
      <c r="I10" s="2"/>
    </row>
    <row r="11" spans="1:9" x14ac:dyDescent="0.25">
      <c r="A11" s="2"/>
      <c r="B11" s="85" t="s">
        <v>204</v>
      </c>
      <c r="C11" s="86"/>
      <c r="D11" s="86"/>
      <c r="E11" s="86"/>
      <c r="F11" s="87"/>
      <c r="G11" s="21">
        <f>G9-G10</f>
        <v>-1463732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04" t="s">
        <v>205</v>
      </c>
      <c r="C14" s="105"/>
      <c r="D14" s="105"/>
      <c r="E14" s="105"/>
      <c r="F14" s="105"/>
      <c r="G14" s="105"/>
      <c r="H14" s="106"/>
      <c r="I14" s="2"/>
    </row>
    <row r="15" spans="1:9" x14ac:dyDescent="0.25">
      <c r="A15" s="2"/>
      <c r="B15" s="100" t="s">
        <v>82</v>
      </c>
      <c r="C15" s="89"/>
      <c r="D15" s="89"/>
      <c r="E15" s="89"/>
      <c r="F15" s="90"/>
      <c r="G15" s="27">
        <v>74131</v>
      </c>
      <c r="H15" s="23" t="s">
        <v>4</v>
      </c>
      <c r="I15" s="2"/>
    </row>
    <row r="16" spans="1:9" x14ac:dyDescent="0.25">
      <c r="A16" s="2"/>
      <c r="B16" s="100" t="s">
        <v>83</v>
      </c>
      <c r="C16" s="89"/>
      <c r="D16" s="89"/>
      <c r="E16" s="89"/>
      <c r="F16" s="90"/>
      <c r="G16" s="27">
        <v>-219000</v>
      </c>
      <c r="H16" s="23" t="s">
        <v>4</v>
      </c>
      <c r="I16" s="2"/>
    </row>
    <row r="17" spans="1:9" x14ac:dyDescent="0.25">
      <c r="A17" s="2"/>
      <c r="B17" s="85" t="s">
        <v>205</v>
      </c>
      <c r="C17" s="86"/>
      <c r="D17" s="86"/>
      <c r="E17" s="86"/>
      <c r="F17" s="87"/>
      <c r="G17" s="21">
        <f>G15-G16</f>
        <v>293131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04" t="s">
        <v>206</v>
      </c>
      <c r="C20" s="105"/>
      <c r="D20" s="105"/>
      <c r="E20" s="105"/>
      <c r="F20" s="105"/>
      <c r="G20" s="105"/>
      <c r="H20" s="106"/>
      <c r="I20" s="2"/>
    </row>
    <row r="21" spans="1:9" x14ac:dyDescent="0.25">
      <c r="A21" s="2"/>
      <c r="B21" s="100" t="s">
        <v>84</v>
      </c>
      <c r="C21" s="89"/>
      <c r="D21" s="89"/>
      <c r="E21" s="89"/>
      <c r="F21" s="90"/>
      <c r="G21" s="27">
        <v>689140</v>
      </c>
      <c r="H21" s="23" t="s">
        <v>4</v>
      </c>
      <c r="I21" s="2"/>
    </row>
    <row r="22" spans="1:9" x14ac:dyDescent="0.25">
      <c r="A22" s="2"/>
      <c r="B22" s="100" t="s">
        <v>85</v>
      </c>
      <c r="C22" s="89"/>
      <c r="D22" s="89"/>
      <c r="E22" s="89"/>
      <c r="F22" s="90"/>
      <c r="G22" s="27">
        <v>467000</v>
      </c>
      <c r="H22" s="23" t="s">
        <v>4</v>
      </c>
      <c r="I22" s="2"/>
    </row>
    <row r="23" spans="1:9" x14ac:dyDescent="0.25">
      <c r="A23" s="2"/>
      <c r="B23" s="85" t="s">
        <v>206</v>
      </c>
      <c r="C23" s="86"/>
      <c r="D23" s="86"/>
      <c r="E23" s="86"/>
      <c r="F23" s="87"/>
      <c r="G23" s="21">
        <f>G21-G22</f>
        <v>222140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04" t="s">
        <v>207</v>
      </c>
      <c r="C26" s="105"/>
      <c r="D26" s="105"/>
      <c r="E26" s="105"/>
      <c r="F26" s="105"/>
      <c r="G26" s="105"/>
      <c r="H26" s="106"/>
      <c r="I26" s="2"/>
    </row>
    <row r="27" spans="1:9" ht="29.25" customHeight="1" x14ac:dyDescent="0.25">
      <c r="A27" s="2"/>
      <c r="B27" s="94" t="s">
        <v>86</v>
      </c>
      <c r="C27" s="95"/>
      <c r="D27" s="95"/>
      <c r="E27" s="95"/>
      <c r="F27" s="96"/>
      <c r="G27" s="27">
        <v>0</v>
      </c>
      <c r="H27" s="23" t="s">
        <v>4</v>
      </c>
      <c r="I27" s="2"/>
    </row>
    <row r="28" spans="1:9" x14ac:dyDescent="0.25">
      <c r="A28" s="2"/>
      <c r="B28" s="100" t="s">
        <v>87</v>
      </c>
      <c r="C28" s="89"/>
      <c r="D28" s="89"/>
      <c r="E28" s="89"/>
      <c r="F28" s="90"/>
      <c r="G28" s="27">
        <v>305000</v>
      </c>
      <c r="H28" s="23" t="s">
        <v>4</v>
      </c>
      <c r="I28" s="2"/>
    </row>
    <row r="29" spans="1:9" ht="15" customHeight="1" x14ac:dyDescent="0.25">
      <c r="A29" s="2"/>
      <c r="B29" s="104" t="s">
        <v>207</v>
      </c>
      <c r="C29" s="105"/>
      <c r="D29" s="105"/>
      <c r="E29" s="105"/>
      <c r="F29" s="106"/>
      <c r="G29" s="21">
        <f>G27-G28</f>
        <v>-305000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04" t="s">
        <v>88</v>
      </c>
      <c r="C32" s="105"/>
      <c r="D32" s="105"/>
      <c r="E32" s="105"/>
      <c r="F32" s="105"/>
      <c r="G32" s="105"/>
      <c r="H32" s="106"/>
      <c r="I32" s="2"/>
    </row>
    <row r="33" spans="1:9" x14ac:dyDescent="0.25">
      <c r="A33" s="2"/>
      <c r="B33" s="100" t="s">
        <v>89</v>
      </c>
      <c r="C33" s="89"/>
      <c r="D33" s="89"/>
      <c r="E33" s="89"/>
      <c r="F33" s="90"/>
      <c r="G33" s="12">
        <f>'Fane 8. Gen. inv. i 2016'!F54</f>
        <v>1984338.6533333333</v>
      </c>
      <c r="H33" s="23" t="s">
        <v>4</v>
      </c>
      <c r="I33" s="2"/>
    </row>
    <row r="34" spans="1:9" x14ac:dyDescent="0.25">
      <c r="A34" s="2"/>
      <c r="B34" s="100" t="s">
        <v>90</v>
      </c>
      <c r="C34" s="89"/>
      <c r="D34" s="89"/>
      <c r="E34" s="89"/>
      <c r="F34" s="90"/>
      <c r="G34" s="27">
        <v>607666.66666666663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1376671.9866666668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208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100" t="s">
        <v>146</v>
      </c>
      <c r="C39" s="89"/>
      <c r="D39" s="89"/>
      <c r="E39" s="89"/>
      <c r="F39" s="90"/>
      <c r="G39" s="27">
        <v>309181</v>
      </c>
      <c r="H39" s="23" t="s">
        <v>4</v>
      </c>
      <c r="I39" s="2"/>
    </row>
    <row r="40" spans="1:9" x14ac:dyDescent="0.25">
      <c r="A40" s="2"/>
      <c r="B40" s="100" t="s">
        <v>79</v>
      </c>
      <c r="C40" s="89"/>
      <c r="D40" s="89"/>
      <c r="E40" s="89"/>
      <c r="F40" s="90"/>
      <c r="G40" s="27">
        <v>0</v>
      </c>
      <c r="H40" s="23" t="s">
        <v>4</v>
      </c>
      <c r="I40" s="2"/>
    </row>
    <row r="41" spans="1:9" x14ac:dyDescent="0.25">
      <c r="A41" s="2"/>
      <c r="B41" s="85" t="s">
        <v>208</v>
      </c>
      <c r="C41" s="86"/>
      <c r="D41" s="86"/>
      <c r="E41" s="86"/>
      <c r="F41" s="87"/>
      <c r="G41" s="21">
        <f>G39-G40</f>
        <v>309181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07" t="s">
        <v>91</v>
      </c>
      <c r="C3" s="107"/>
      <c r="D3" s="107"/>
      <c r="E3" s="107"/>
      <c r="F3" s="107"/>
      <c r="G3" s="107"/>
      <c r="H3" s="107"/>
      <c r="I3" s="2"/>
    </row>
    <row r="4" spans="1:9" ht="1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1" t="s">
        <v>93</v>
      </c>
      <c r="C9" s="102"/>
      <c r="D9" s="102"/>
      <c r="E9" s="102"/>
      <c r="F9" s="103"/>
      <c r="G9" s="26">
        <v>66478011.417773113</v>
      </c>
      <c r="H9" s="3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100" t="s">
        <v>19</v>
      </c>
      <c r="C11" s="89"/>
      <c r="D11" s="90"/>
      <c r="E11" s="27">
        <v>34805910</v>
      </c>
      <c r="F11" s="23" t="s">
        <v>4</v>
      </c>
      <c r="G11" s="20"/>
      <c r="H11" s="42"/>
      <c r="I11" s="2"/>
    </row>
    <row r="12" spans="1:9" x14ac:dyDescent="0.25">
      <c r="A12" s="2"/>
      <c r="B12" s="100" t="s">
        <v>95</v>
      </c>
      <c r="C12" s="89"/>
      <c r="D12" s="90"/>
      <c r="E12" s="27">
        <v>2889371.4550000001</v>
      </c>
      <c r="F12" s="23" t="s">
        <v>4</v>
      </c>
      <c r="G12" s="15"/>
      <c r="H12" s="43"/>
      <c r="I12" s="2"/>
    </row>
    <row r="13" spans="1:9" x14ac:dyDescent="0.25">
      <c r="A13" s="2"/>
      <c r="B13" s="100" t="s">
        <v>96</v>
      </c>
      <c r="C13" s="89"/>
      <c r="D13" s="90"/>
      <c r="E13" s="27">
        <v>106878</v>
      </c>
      <c r="F13" s="23" t="s">
        <v>4</v>
      </c>
      <c r="G13" s="15"/>
      <c r="H13" s="43"/>
      <c r="I13" s="2"/>
    </row>
    <row r="14" spans="1:9" x14ac:dyDescent="0.25">
      <c r="A14" s="2"/>
      <c r="B14" s="100" t="s">
        <v>97</v>
      </c>
      <c r="C14" s="89"/>
      <c r="D14" s="90"/>
      <c r="E14" s="27">
        <v>1464333</v>
      </c>
      <c r="F14" s="23" t="s">
        <v>4</v>
      </c>
      <c r="G14" s="15"/>
      <c r="H14" s="43"/>
      <c r="I14" s="2"/>
    </row>
    <row r="15" spans="1:9" x14ac:dyDescent="0.25">
      <c r="A15" s="2"/>
      <c r="B15" s="101" t="s">
        <v>20</v>
      </c>
      <c r="C15" s="102"/>
      <c r="D15" s="103"/>
      <c r="E15" s="18">
        <f>SUM(E11:E14)</f>
        <v>39266492.454999998</v>
      </c>
      <c r="F15" s="38" t="s">
        <v>4</v>
      </c>
      <c r="G15" s="15"/>
      <c r="H15" s="43"/>
      <c r="I15" s="2"/>
    </row>
    <row r="16" spans="1:9" x14ac:dyDescent="0.25">
      <c r="A16" s="2"/>
      <c r="B16" s="100" t="s">
        <v>21</v>
      </c>
      <c r="C16" s="89"/>
      <c r="D16" s="90"/>
      <c r="E16" s="27">
        <v>1288979</v>
      </c>
      <c r="F16" s="23" t="s">
        <v>4</v>
      </c>
      <c r="G16" s="15"/>
      <c r="H16" s="43"/>
      <c r="I16" s="2"/>
    </row>
    <row r="17" spans="1:9" x14ac:dyDescent="0.25">
      <c r="A17" s="2"/>
      <c r="B17" s="100" t="s">
        <v>22</v>
      </c>
      <c r="C17" s="89"/>
      <c r="D17" s="90"/>
      <c r="E17" s="27">
        <v>0</v>
      </c>
      <c r="F17" s="23" t="s">
        <v>4</v>
      </c>
      <c r="G17" s="15"/>
      <c r="H17" s="43"/>
      <c r="I17" s="2"/>
    </row>
    <row r="18" spans="1:9" x14ac:dyDescent="0.25">
      <c r="A18" s="2"/>
      <c r="B18" s="100" t="s">
        <v>23</v>
      </c>
      <c r="C18" s="89"/>
      <c r="D18" s="90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1" t="s">
        <v>24</v>
      </c>
      <c r="C19" s="102"/>
      <c r="D19" s="103"/>
      <c r="E19" s="18">
        <f>SUM(E16:E18)</f>
        <v>1288979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4" t="s">
        <v>25</v>
      </c>
      <c r="C20" s="95"/>
      <c r="D20" s="96"/>
      <c r="E20" s="27">
        <v>0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4" t="s">
        <v>26</v>
      </c>
      <c r="C21" s="95"/>
      <c r="D21" s="96"/>
      <c r="E21" s="27">
        <v>-24685696</v>
      </c>
      <c r="F21" s="23" t="s">
        <v>4</v>
      </c>
      <c r="G21" s="15"/>
      <c r="H21" s="43"/>
      <c r="I21" s="2"/>
    </row>
    <row r="22" spans="1:9" x14ac:dyDescent="0.25">
      <c r="A22" s="2"/>
      <c r="B22" s="100" t="s">
        <v>27</v>
      </c>
      <c r="C22" s="89"/>
      <c r="D22" s="90"/>
      <c r="E22" s="27">
        <v>-5517310</v>
      </c>
      <c r="F22" s="23" t="s">
        <v>4</v>
      </c>
      <c r="G22" s="15"/>
      <c r="H22" s="43"/>
      <c r="I22" s="2"/>
    </row>
    <row r="23" spans="1:9" x14ac:dyDescent="0.25">
      <c r="A23" s="2"/>
      <c r="B23" s="100" t="s">
        <v>28</v>
      </c>
      <c r="C23" s="89"/>
      <c r="D23" s="90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4" t="s">
        <v>29</v>
      </c>
      <c r="C24" s="95"/>
      <c r="D24" s="96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4" t="s">
        <v>30</v>
      </c>
      <c r="C25" s="95"/>
      <c r="D25" s="96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4" t="s">
        <v>31</v>
      </c>
      <c r="C26" s="95"/>
      <c r="D26" s="96"/>
      <c r="E26" s="27">
        <v>-114086</v>
      </c>
      <c r="F26" s="23" t="s">
        <v>4</v>
      </c>
      <c r="G26" s="15"/>
      <c r="H26" s="43"/>
      <c r="I26" s="2"/>
    </row>
    <row r="27" spans="1:9" x14ac:dyDescent="0.25">
      <c r="A27" s="2"/>
      <c r="B27" s="101" t="s">
        <v>32</v>
      </c>
      <c r="C27" s="102"/>
      <c r="D27" s="103"/>
      <c r="E27" s="18">
        <f>SUM(E20:E26)</f>
        <v>-30317092</v>
      </c>
      <c r="F27" s="38" t="s">
        <v>4</v>
      </c>
      <c r="G27" s="16"/>
      <c r="H27" s="44"/>
      <c r="I27" s="2"/>
    </row>
    <row r="28" spans="1:9" x14ac:dyDescent="0.25">
      <c r="A28" s="2"/>
      <c r="B28" s="101" t="s">
        <v>33</v>
      </c>
      <c r="C28" s="102"/>
      <c r="D28" s="103"/>
      <c r="E28" s="18">
        <f>E15+E19+E27</f>
        <v>10238379.454999998</v>
      </c>
      <c r="F28" s="38" t="s">
        <v>4</v>
      </c>
      <c r="G28" s="1">
        <f>IF(E28&lt;0,0,-E28)</f>
        <v>-10238379.454999998</v>
      </c>
      <c r="H28" s="3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101" t="s">
        <v>98</v>
      </c>
      <c r="C30" s="102"/>
      <c r="D30" s="103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2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94" t="s">
        <v>58</v>
      </c>
      <c r="C32" s="95"/>
      <c r="D32" s="96"/>
      <c r="E32" s="27">
        <v>56820838</v>
      </c>
      <c r="F32" s="23" t="s">
        <v>4</v>
      </c>
      <c r="G32" s="20"/>
      <c r="H32" s="42"/>
      <c r="I32" s="2"/>
    </row>
    <row r="33" spans="1:9" x14ac:dyDescent="0.25">
      <c r="A33" s="2"/>
      <c r="B33" s="100" t="s">
        <v>34</v>
      </c>
      <c r="C33" s="89"/>
      <c r="D33" s="90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4" t="s">
        <v>35</v>
      </c>
      <c r="C34" s="95"/>
      <c r="D34" s="96"/>
      <c r="E34" s="27">
        <v>1556436</v>
      </c>
      <c r="F34" s="23" t="s">
        <v>4</v>
      </c>
      <c r="G34" s="16"/>
      <c r="H34" s="44"/>
      <c r="I34" s="2"/>
    </row>
    <row r="35" spans="1:9" x14ac:dyDescent="0.25">
      <c r="A35" s="2"/>
      <c r="B35" s="101" t="s">
        <v>36</v>
      </c>
      <c r="C35" s="102"/>
      <c r="D35" s="103"/>
      <c r="E35" s="18">
        <f>SUM(E32:E34)</f>
        <v>58377274</v>
      </c>
      <c r="F35" s="38" t="s">
        <v>4</v>
      </c>
      <c r="G35" s="18">
        <f>-E35</f>
        <v>-58377274</v>
      </c>
      <c r="H35" s="3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-2137642.0372268856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128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200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91" t="s">
        <v>118</v>
      </c>
      <c r="C9" s="93"/>
      <c r="D9" s="120" t="s">
        <v>47</v>
      </c>
      <c r="E9" s="120"/>
      <c r="F9" s="120" t="s">
        <v>129</v>
      </c>
      <c r="G9" s="120"/>
      <c r="H9" s="2"/>
    </row>
    <row r="10" spans="1:8" x14ac:dyDescent="0.25">
      <c r="A10" s="2"/>
      <c r="B10" s="122" t="s">
        <v>201</v>
      </c>
      <c r="C10" s="123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196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91" t="s">
        <v>214</v>
      </c>
      <c r="C16" s="92"/>
      <c r="D16" s="92"/>
      <c r="E16" s="93"/>
      <c r="F16" s="120" t="s">
        <v>197</v>
      </c>
      <c r="G16" s="120"/>
      <c r="H16" s="2"/>
    </row>
    <row r="17" spans="1:8" x14ac:dyDescent="0.25">
      <c r="A17" s="2"/>
      <c r="B17" s="100" t="s">
        <v>210</v>
      </c>
      <c r="C17" s="89"/>
      <c r="D17" s="89"/>
      <c r="E17" s="90"/>
      <c r="F17" s="27">
        <v>0</v>
      </c>
      <c r="G17" s="23" t="s">
        <v>4</v>
      </c>
      <c r="H17" s="2"/>
    </row>
    <row r="18" spans="1:8" x14ac:dyDescent="0.25">
      <c r="A18" s="2"/>
      <c r="B18" s="85" t="s">
        <v>198</v>
      </c>
      <c r="C18" s="86"/>
      <c r="D18" s="86"/>
      <c r="E18" s="87"/>
      <c r="F18" s="21">
        <f>SUM(F17:F17)</f>
        <v>0</v>
      </c>
      <c r="G18" s="22" t="s">
        <v>4</v>
      </c>
      <c r="H18" s="2"/>
    </row>
    <row r="19" spans="1:8" x14ac:dyDescent="0.25">
      <c r="A19" s="2"/>
      <c r="B19" s="85" t="s">
        <v>199</v>
      </c>
      <c r="C19" s="86"/>
      <c r="D19" s="86"/>
      <c r="E19" s="87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07" t="s">
        <v>120</v>
      </c>
      <c r="C3" s="107"/>
      <c r="D3" s="107"/>
      <c r="E3" s="107"/>
      <c r="F3" s="107"/>
      <c r="G3" s="107"/>
      <c r="H3" s="2"/>
    </row>
    <row r="4" spans="1:8" ht="25.5" customHeight="1" x14ac:dyDescent="0.25">
      <c r="A4" s="2"/>
      <c r="B4" s="107"/>
      <c r="C4" s="107"/>
      <c r="D4" s="107"/>
      <c r="E4" s="107"/>
      <c r="F4" s="107"/>
      <c r="G4" s="10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45" t="s">
        <v>121</v>
      </c>
      <c r="C9" s="46"/>
      <c r="D9" s="120" t="s">
        <v>47</v>
      </c>
      <c r="E9" s="120"/>
      <c r="F9" s="120" t="s">
        <v>129</v>
      </c>
      <c r="G9" s="120"/>
      <c r="H9" s="2"/>
    </row>
    <row r="10" spans="1:8" x14ac:dyDescent="0.25">
      <c r="A10" s="2"/>
      <c r="B10" s="35" t="s">
        <v>209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94" t="s">
        <v>60</v>
      </c>
      <c r="C9" s="95"/>
      <c r="D9" s="96"/>
      <c r="E9" s="8">
        <f>'Fane 3. Korrigeret grundlag'!G12</f>
        <v>70832955.579159021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89"/>
      <c r="D10" s="90"/>
      <c r="E10" s="12">
        <f>'Fane 3. Korrigeret grundlag'!G11</f>
        <v>4895181.6872319393</v>
      </c>
      <c r="F10" s="9" t="s">
        <v>4</v>
      </c>
      <c r="G10" s="13"/>
      <c r="H10" s="14"/>
      <c r="I10" s="2"/>
    </row>
    <row r="11" spans="1:9" x14ac:dyDescent="0.25">
      <c r="A11" s="2"/>
      <c r="B11" s="88" t="s">
        <v>123</v>
      </c>
      <c r="C11" s="89"/>
      <c r="D11" s="90"/>
      <c r="E11" s="12">
        <f>'Fane 4. Ikke-påvirkelige omk.'!G21</f>
        <v>-134969.87133849954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212</v>
      </c>
      <c r="C12" s="49"/>
      <c r="D12" s="50"/>
      <c r="E12" s="12">
        <f>'Fane 5. Individuelt eff.krav'!G10</f>
        <v>-1572944.764307488</v>
      </c>
      <c r="F12" s="9" t="s">
        <v>4</v>
      </c>
      <c r="G12" s="13"/>
      <c r="H12" s="14"/>
      <c r="I12" s="2"/>
    </row>
    <row r="13" spans="1:9" x14ac:dyDescent="0.25">
      <c r="A13" s="2"/>
      <c r="B13" s="88" t="s">
        <v>192</v>
      </c>
      <c r="C13" s="97"/>
      <c r="D13" s="98"/>
      <c r="E13" s="12">
        <f>'Fane 3. Korrigeret grundlag'!G22</f>
        <v>1898401</v>
      </c>
      <c r="F13" s="9" t="s">
        <v>4</v>
      </c>
      <c r="G13" s="13"/>
      <c r="H13" s="14"/>
      <c r="I13" s="2"/>
    </row>
    <row r="14" spans="1:9" x14ac:dyDescent="0.25">
      <c r="A14" s="2"/>
      <c r="B14" s="94" t="s">
        <v>131</v>
      </c>
      <c r="C14" s="95"/>
      <c r="D14" s="96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4" t="s">
        <v>132</v>
      </c>
      <c r="C15" s="95"/>
      <c r="D15" s="96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4" t="s">
        <v>196</v>
      </c>
      <c r="C16" s="95"/>
      <c r="D16" s="96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4" t="s">
        <v>133</v>
      </c>
      <c r="C17" s="95"/>
      <c r="D17" s="96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4" t="s">
        <v>134</v>
      </c>
      <c r="C18" s="95"/>
      <c r="D18" s="96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126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88" t="s">
        <v>125</v>
      </c>
      <c r="C20" s="89"/>
      <c r="D20" s="90"/>
      <c r="E20" s="12">
        <f>SUM(E9,E11:E18)*(E19/100)</f>
        <v>1242910.2340114783</v>
      </c>
      <c r="F20" s="9" t="s">
        <v>4</v>
      </c>
      <c r="G20" s="13"/>
      <c r="H20" s="14"/>
      <c r="I20" s="2"/>
    </row>
    <row r="21" spans="1:9" x14ac:dyDescent="0.25">
      <c r="A21" s="2"/>
      <c r="B21" s="100" t="s">
        <v>15</v>
      </c>
      <c r="C21" s="89"/>
      <c r="D21" s="90"/>
      <c r="E21" s="12">
        <f>'Fane 5. Individuelt eff.krav'!G12</f>
        <v>42090.316799774191</v>
      </c>
      <c r="F21" s="9" t="s">
        <v>4</v>
      </c>
      <c r="G21" s="15"/>
      <c r="H21" s="14"/>
      <c r="I21" s="2"/>
    </row>
    <row r="22" spans="1:9" x14ac:dyDescent="0.25">
      <c r="A22" s="2"/>
      <c r="B22" s="100" t="s">
        <v>16</v>
      </c>
      <c r="C22" s="89"/>
      <c r="D22" s="90"/>
      <c r="E22" s="12">
        <f>'Fane 6. Generelt eff.krav'!G17</f>
        <v>1259159.2629102739</v>
      </c>
      <c r="F22" s="9" t="s">
        <v>4</v>
      </c>
      <c r="G22" s="16"/>
      <c r="H22" s="17"/>
      <c r="I22" s="2"/>
    </row>
    <row r="23" spans="1:9" x14ac:dyDescent="0.25">
      <c r="A23" s="2"/>
      <c r="B23" s="101" t="s">
        <v>202</v>
      </c>
      <c r="C23" s="102"/>
      <c r="D23" s="103"/>
      <c r="E23" s="18">
        <f>SUM(E9,E11:E18,E20)-SUM(E21:E22)</f>
        <v>70965102.597814456</v>
      </c>
      <c r="F23" s="19" t="s">
        <v>4</v>
      </c>
      <c r="G23" s="18">
        <f>E23</f>
        <v>70965102.597814456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91" t="s">
        <v>55</v>
      </c>
      <c r="C25" s="92"/>
      <c r="D25" s="93"/>
      <c r="E25" s="18">
        <f>'Fane 7. Hist. over el. underdæk'!G13</f>
        <v>-630394.37830687838</v>
      </c>
      <c r="F25" s="19" t="s">
        <v>4</v>
      </c>
      <c r="G25" s="18">
        <f>E25</f>
        <v>-630394.37830687838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94" t="s">
        <v>107</v>
      </c>
      <c r="C27" s="95"/>
      <c r="D27" s="96"/>
      <c r="E27" s="12">
        <f>'Fane 9. Korrektion af PL2016'!G11</f>
        <v>-1463732</v>
      </c>
      <c r="F27" s="9" t="s">
        <v>4</v>
      </c>
      <c r="G27" s="20"/>
      <c r="H27" s="11"/>
      <c r="I27" s="2"/>
    </row>
    <row r="28" spans="1:9" x14ac:dyDescent="0.25">
      <c r="A28" s="2"/>
      <c r="B28" s="94" t="s">
        <v>101</v>
      </c>
      <c r="C28" s="95"/>
      <c r="D28" s="96"/>
      <c r="E28" s="12">
        <f>'Fane 9. Korrektion af PL2016'!G17</f>
        <v>293131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94" t="s">
        <v>102</v>
      </c>
      <c r="C29" s="95"/>
      <c r="D29" s="96"/>
      <c r="E29" s="12">
        <f>'Fane 9. Korrektion af PL2016'!G23</f>
        <v>222140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94" t="s">
        <v>103</v>
      </c>
      <c r="C30" s="95"/>
      <c r="D30" s="96"/>
      <c r="E30" s="12">
        <f>'Fane 9. Korrektion af PL2016'!G29</f>
        <v>-305000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94" t="s">
        <v>104</v>
      </c>
      <c r="C31" s="95"/>
      <c r="D31" s="96"/>
      <c r="E31" s="12">
        <f>'Fane 9. Korrektion af PL2016'!G35</f>
        <v>1376671.9866666668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94" t="s">
        <v>78</v>
      </c>
      <c r="C32" s="95"/>
      <c r="D32" s="96"/>
      <c r="E32" s="12">
        <f>'Fane 9. Korrektion af PL2016'!G41</f>
        <v>309181</v>
      </c>
      <c r="F32" s="9" t="s">
        <v>4</v>
      </c>
      <c r="G32" s="16"/>
      <c r="H32" s="17"/>
      <c r="I32" s="2"/>
    </row>
    <row r="33" spans="1:9" x14ac:dyDescent="0.25">
      <c r="A33" s="2"/>
      <c r="B33" s="91" t="s">
        <v>105</v>
      </c>
      <c r="C33" s="92"/>
      <c r="D33" s="93"/>
      <c r="E33" s="18">
        <f>SUM(E27:E32)</f>
        <v>432391.98666666681</v>
      </c>
      <c r="F33" s="19" t="s">
        <v>4</v>
      </c>
      <c r="G33" s="18">
        <f>E33</f>
        <v>432391.98666666681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91" t="s">
        <v>106</v>
      </c>
      <c r="C35" s="92"/>
      <c r="D35" s="93"/>
      <c r="E35" s="18">
        <f>'Fane 10. Kontrol af PL2016'!G36</f>
        <v>-2137642.0372268856</v>
      </c>
      <c r="F35" s="19" t="s">
        <v>4</v>
      </c>
      <c r="G35" s="18">
        <f>E35</f>
        <v>-2137642.0372268856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68629458.168947354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110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108</v>
      </c>
      <c r="C9" s="95"/>
      <c r="D9" s="96"/>
      <c r="E9" s="8">
        <f>'Fane 2.1. Økonomisk ramme 2018'!G23-'Fane 2.1. Økonomisk ramme 2018'!E13*(1+0.0175)*(1-0.02-'Fane 5. Individuelt eff.krav'!G11/100)</f>
        <v>69073317.902487814</v>
      </c>
      <c r="F9" s="9" t="s">
        <v>4</v>
      </c>
      <c r="G9" s="10"/>
      <c r="H9" s="11"/>
      <c r="I9" s="2"/>
    </row>
    <row r="10" spans="1:9" x14ac:dyDescent="0.25">
      <c r="A10" s="2"/>
      <c r="B10" s="88" t="s">
        <v>46</v>
      </c>
      <c r="C10" s="97"/>
      <c r="D10" s="98"/>
      <c r="E10" s="12">
        <f>(SUM('Fane 2.1. Økonomisk ramme 2018'!E10:E11,'Fane 2.1. Økonomisk ramme 2018'!E16))*(1+'Fane 2.1. Økonomisk ramme 2018'!E19/100)</f>
        <v>4843515.5226715747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192</v>
      </c>
      <c r="C11" s="59"/>
      <c r="D11" s="60"/>
      <c r="E11" s="12">
        <v>1240025</v>
      </c>
      <c r="F11" s="9" t="s">
        <v>4</v>
      </c>
      <c r="G11" s="13"/>
      <c r="H11" s="14"/>
      <c r="I11" s="2"/>
    </row>
    <row r="12" spans="1:9" x14ac:dyDescent="0.25">
      <c r="A12" s="2"/>
      <c r="B12" s="100" t="s">
        <v>61</v>
      </c>
      <c r="C12" s="89"/>
      <c r="D12" s="90"/>
      <c r="E12" s="12">
        <f>($E$9+E11)*'Fane 2.1. Økonomisk ramme 2018'!E19/100</f>
        <v>1230483.5007935367</v>
      </c>
      <c r="F12" s="9" t="s">
        <v>4</v>
      </c>
      <c r="G12" s="15"/>
      <c r="H12" s="14"/>
      <c r="I12" s="2"/>
    </row>
    <row r="13" spans="1:9" x14ac:dyDescent="0.25">
      <c r="A13" s="2"/>
      <c r="B13" s="100" t="s">
        <v>15</v>
      </c>
      <c r="C13" s="89"/>
      <c r="D13" s="90"/>
      <c r="E13" s="12">
        <f>($E$9+E11-$E$10)*(1+'Fane 2.1. Økonomisk ramme 2018'!E19/100)*'Fane 5. Individuelt eff.krav'!$G$11/100</f>
        <v>41586.348415792032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1282652.0881530712</v>
      </c>
      <c r="F14" s="9" t="s">
        <v>4</v>
      </c>
      <c r="G14" s="16"/>
      <c r="H14" s="17"/>
      <c r="I14" s="2"/>
    </row>
    <row r="15" spans="1:9" x14ac:dyDescent="0.25">
      <c r="A15" s="2"/>
      <c r="B15" s="101" t="s">
        <v>202</v>
      </c>
      <c r="C15" s="102"/>
      <c r="D15" s="103"/>
      <c r="E15" s="18">
        <f>$E$9+$E$12-$E$13-$E$14+E11</f>
        <v>70219587.96671249</v>
      </c>
      <c r="F15" s="19" t="s">
        <v>4</v>
      </c>
      <c r="G15" s="18">
        <f>E15</f>
        <v>70219587.96671249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91" t="s">
        <v>55</v>
      </c>
      <c r="C17" s="92"/>
      <c r="D17" s="93"/>
      <c r="E17" s="18">
        <f>IF('Fane 7. Hist. over el. underdæk'!$G$12&gt;1,'Fane 7. Hist. over el. underdæk'!$G$13,0)</f>
        <v>-630394.37830687838</v>
      </c>
      <c r="F17" s="19" t="s">
        <v>4</v>
      </c>
      <c r="G17" s="18">
        <f>E17</f>
        <v>-630394.37830687838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69589193.588405609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07" t="s">
        <v>141</v>
      </c>
      <c r="C3" s="107"/>
      <c r="D3" s="107"/>
      <c r="E3" s="107"/>
      <c r="F3" s="107"/>
      <c r="G3" s="107"/>
      <c r="H3" s="107"/>
      <c r="I3" s="2"/>
    </row>
    <row r="4" spans="1:9" ht="29.25" customHeight="1" x14ac:dyDescent="0.25">
      <c r="A4" s="2"/>
      <c r="B4" s="107"/>
      <c r="C4" s="107"/>
      <c r="D4" s="107"/>
      <c r="E4" s="107"/>
      <c r="F4" s="107"/>
      <c r="G4" s="107"/>
      <c r="H4" s="10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112</v>
      </c>
      <c r="C9" s="89"/>
      <c r="D9" s="89"/>
      <c r="E9" s="89"/>
      <c r="F9" s="90"/>
      <c r="G9" s="27">
        <v>21727577.420105301</v>
      </c>
      <c r="H9" s="23" t="s">
        <v>4</v>
      </c>
      <c r="I9" s="2"/>
    </row>
    <row r="10" spans="1:9" x14ac:dyDescent="0.25">
      <c r="A10" s="2"/>
      <c r="B10" s="100" t="s">
        <v>113</v>
      </c>
      <c r="C10" s="89"/>
      <c r="D10" s="89"/>
      <c r="E10" s="89"/>
      <c r="F10" s="90"/>
      <c r="G10" s="27">
        <v>44210196.471821785</v>
      </c>
      <c r="H10" s="23" t="s">
        <v>4</v>
      </c>
      <c r="I10" s="2"/>
    </row>
    <row r="11" spans="1:9" x14ac:dyDescent="0.25">
      <c r="A11" s="2"/>
      <c r="B11" s="100" t="s">
        <v>140</v>
      </c>
      <c r="C11" s="89"/>
      <c r="D11" s="89"/>
      <c r="E11" s="89"/>
      <c r="F11" s="90"/>
      <c r="G11" s="27">
        <v>4895181.6872319393</v>
      </c>
      <c r="H11" s="23" t="s">
        <v>4</v>
      </c>
      <c r="I11" s="2"/>
    </row>
    <row r="12" spans="1:9" ht="17.25" customHeight="1" x14ac:dyDescent="0.25">
      <c r="A12" s="2"/>
      <c r="B12" s="104" t="s">
        <v>145</v>
      </c>
      <c r="C12" s="105"/>
      <c r="D12" s="105"/>
      <c r="E12" s="105"/>
      <c r="F12" s="106"/>
      <c r="G12" s="21">
        <f>SUM(G9:G11)</f>
        <v>70832955.579159021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192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100" t="s">
        <v>193</v>
      </c>
      <c r="C20" s="89"/>
      <c r="D20" s="89"/>
      <c r="E20" s="89"/>
      <c r="F20" s="90"/>
      <c r="G20" s="27">
        <v>1898401</v>
      </c>
      <c r="H20" s="23" t="s">
        <v>4</v>
      </c>
      <c r="I20" s="2"/>
    </row>
    <row r="21" spans="1:9" x14ac:dyDescent="0.25">
      <c r="A21" s="2"/>
      <c r="B21" s="100" t="s">
        <v>194</v>
      </c>
      <c r="C21" s="89"/>
      <c r="D21" s="89"/>
      <c r="E21" s="89"/>
      <c r="F21" s="90"/>
      <c r="G21" s="27">
        <v>0</v>
      </c>
      <c r="H21" s="23" t="s">
        <v>4</v>
      </c>
      <c r="I21" s="2"/>
    </row>
    <row r="22" spans="1:9" x14ac:dyDescent="0.25">
      <c r="A22" s="2"/>
      <c r="B22" s="104" t="s">
        <v>195</v>
      </c>
      <c r="C22" s="105"/>
      <c r="D22" s="105"/>
      <c r="E22" s="105"/>
      <c r="F22" s="106"/>
      <c r="G22" s="21">
        <f>SUM(G20:G21)</f>
        <v>1898401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114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91" t="s">
        <v>117</v>
      </c>
      <c r="C9" s="92"/>
      <c r="D9" s="93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108" t="s">
        <v>182</v>
      </c>
      <c r="C10" s="109"/>
      <c r="D10" s="109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08" t="s">
        <v>183</v>
      </c>
      <c r="C11" s="109"/>
      <c r="D11" s="109"/>
      <c r="E11" s="56">
        <v>0</v>
      </c>
      <c r="F11" s="23" t="s">
        <v>4</v>
      </c>
      <c r="G11" s="27">
        <v>17975</v>
      </c>
      <c r="H11" s="23" t="s">
        <v>4</v>
      </c>
      <c r="I11" s="2"/>
    </row>
    <row r="12" spans="1:9" x14ac:dyDescent="0.25">
      <c r="A12" s="2"/>
      <c r="B12" s="108" t="s">
        <v>184</v>
      </c>
      <c r="C12" s="109"/>
      <c r="D12" s="109"/>
      <c r="E12" s="56">
        <v>430565.60959999997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08" t="s">
        <v>185</v>
      </c>
      <c r="C13" s="109"/>
      <c r="D13" s="109"/>
      <c r="E13" s="56">
        <v>32399.4126</v>
      </c>
      <c r="F13" s="23" t="s">
        <v>4</v>
      </c>
      <c r="G13" s="27">
        <v>47065</v>
      </c>
      <c r="H13" s="23" t="s">
        <v>4</v>
      </c>
      <c r="I13" s="2"/>
    </row>
    <row r="14" spans="1:9" x14ac:dyDescent="0.25">
      <c r="A14" s="2"/>
      <c r="B14" s="108" t="s">
        <v>186</v>
      </c>
      <c r="C14" s="109"/>
      <c r="D14" s="109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08" t="s">
        <v>187</v>
      </c>
      <c r="C15" s="109"/>
      <c r="D15" s="109"/>
      <c r="E15" s="56">
        <v>476852.0502</v>
      </c>
      <c r="F15" s="23" t="s">
        <v>4</v>
      </c>
      <c r="G15" s="27">
        <v>373318</v>
      </c>
      <c r="H15" s="23" t="s">
        <v>4</v>
      </c>
      <c r="I15" s="2"/>
    </row>
    <row r="16" spans="1:9" x14ac:dyDescent="0.25">
      <c r="A16" s="2"/>
      <c r="B16" s="108" t="s">
        <v>188</v>
      </c>
      <c r="C16" s="109"/>
      <c r="D16" s="109"/>
      <c r="E16" s="56">
        <v>3590134.4498000001</v>
      </c>
      <c r="F16" s="23" t="s">
        <v>4</v>
      </c>
      <c r="G16" s="27">
        <v>3743110</v>
      </c>
      <c r="H16" s="23" t="s">
        <v>4</v>
      </c>
      <c r="I16" s="2"/>
    </row>
    <row r="17" spans="1:9" x14ac:dyDescent="0.25">
      <c r="A17" s="2"/>
      <c r="B17" s="108" t="s">
        <v>189</v>
      </c>
      <c r="C17" s="109"/>
      <c r="D17" s="109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1" t="s">
        <v>191</v>
      </c>
      <c r="C18" s="112"/>
      <c r="D18" s="113"/>
      <c r="E18" s="56">
        <v>0</v>
      </c>
      <c r="F18" s="23" t="s">
        <v>4</v>
      </c>
      <c r="G18" s="27">
        <v>519676</v>
      </c>
      <c r="H18" s="23" t="s">
        <v>4</v>
      </c>
      <c r="I18" s="2"/>
    </row>
    <row r="19" spans="1:9" ht="27" customHeight="1" x14ac:dyDescent="0.25">
      <c r="A19" s="2"/>
      <c r="B19" s="110" t="s">
        <v>190</v>
      </c>
      <c r="C19" s="110"/>
      <c r="D19" s="110"/>
      <c r="E19" s="56">
        <v>303841</v>
      </c>
      <c r="F19" s="23" t="s">
        <v>4</v>
      </c>
      <c r="G19" s="27">
        <v>0</v>
      </c>
      <c r="H19" s="23" t="s">
        <v>4</v>
      </c>
      <c r="I19" s="2"/>
    </row>
    <row r="20" spans="1:9" x14ac:dyDescent="0.25">
      <c r="A20" s="2"/>
      <c r="B20" s="85" t="s">
        <v>136</v>
      </c>
      <c r="C20" s="86"/>
      <c r="D20" s="86"/>
      <c r="E20" s="86"/>
      <c r="F20" s="87"/>
      <c r="G20" s="21">
        <f>SUM(G10:G19)-SUM(E10:E19)</f>
        <v>-132648.52219999954</v>
      </c>
      <c r="H20" s="22" t="s">
        <v>4</v>
      </c>
      <c r="I20" s="2"/>
    </row>
    <row r="21" spans="1:9" x14ac:dyDescent="0.25">
      <c r="A21" s="2"/>
      <c r="B21" s="85" t="s">
        <v>137</v>
      </c>
      <c r="C21" s="86"/>
      <c r="D21" s="86"/>
      <c r="E21" s="86"/>
      <c r="F21" s="87"/>
      <c r="G21" s="21">
        <f>G20*(1+'Fane 2.1. Økonomisk ramme 2018'!E19/100)</f>
        <v>-134969.87133849954</v>
      </c>
      <c r="H21" s="22" t="s">
        <v>4</v>
      </c>
      <c r="I21" s="2"/>
    </row>
    <row r="22" spans="1:9" x14ac:dyDescent="0.25">
      <c r="A22" s="2"/>
      <c r="B22" s="25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4"/>
      <c r="C23" s="24"/>
      <c r="D23" s="24"/>
      <c r="E23" s="24"/>
      <c r="F23" s="24"/>
      <c r="G23" s="24"/>
      <c r="H23" s="24"/>
      <c r="I23" s="2"/>
    </row>
    <row r="24" spans="1:9" x14ac:dyDescent="0.25">
      <c r="A24" s="2"/>
      <c r="B24" s="2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5">
    <mergeCell ref="B21:F21"/>
    <mergeCell ref="B3:H4"/>
    <mergeCell ref="B8:H8"/>
    <mergeCell ref="B20:F20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9:D19"/>
    <mergeCell ref="B18:D1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71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51</v>
      </c>
      <c r="C9" s="89"/>
      <c r="D9" s="89"/>
      <c r="E9" s="89"/>
      <c r="F9" s="90"/>
      <c r="G9" s="12">
        <f>'Fane 3. Korrigeret grundlag'!G12-'Fane 3. Korrigeret grundlag'!G11+SUM('Fane 2.1. Økonomisk ramme 2018'!E13:E15,'Fane 2.1. Økonomisk ramme 2018'!E17:E18)</f>
        <v>67836174.891927078</v>
      </c>
      <c r="H9" s="23" t="s">
        <v>4</v>
      </c>
      <c r="I9" s="2"/>
    </row>
    <row r="10" spans="1:9" x14ac:dyDescent="0.25">
      <c r="A10" s="2"/>
      <c r="B10" s="48" t="s">
        <v>212</v>
      </c>
      <c r="C10" s="49"/>
      <c r="D10" s="49"/>
      <c r="E10" s="49"/>
      <c r="F10" s="50"/>
      <c r="G10" s="12">
        <v>-1572944.764307488</v>
      </c>
      <c r="H10" s="23" t="s">
        <v>4</v>
      </c>
      <c r="I10" s="2"/>
    </row>
    <row r="11" spans="1:9" x14ac:dyDescent="0.25">
      <c r="A11" s="2"/>
      <c r="B11" s="100" t="s">
        <v>37</v>
      </c>
      <c r="C11" s="89"/>
      <c r="D11" s="89"/>
      <c r="E11" s="89"/>
      <c r="F11" s="90"/>
      <c r="G11" s="29">
        <v>6.2427389424803484E-2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42090.316799774191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72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14" t="s">
        <v>47</v>
      </c>
      <c r="C9" s="115"/>
      <c r="D9" s="115"/>
      <c r="E9" s="115"/>
      <c r="F9" s="116"/>
      <c r="G9" s="12">
        <f>'Fane 3. Korrigeret grundlag'!G9+(SUM('Fane 2.1. Økonomisk ramme 2018'!E13,'Fane 2.1. Økonomisk ramme 2018'!E14,'Fane 2.1. Økonomisk ramme 2018'!E17))</f>
        <v>23625978.420105301</v>
      </c>
      <c r="H9" s="23" t="s">
        <v>4</v>
      </c>
      <c r="I9" s="2"/>
    </row>
    <row r="10" spans="1:9" x14ac:dyDescent="0.25">
      <c r="A10" s="2"/>
      <c r="B10" s="52" t="s">
        <v>211</v>
      </c>
      <c r="C10" s="53"/>
      <c r="D10" s="53"/>
      <c r="E10" s="53"/>
      <c r="F10" s="54"/>
      <c r="G10" s="12">
        <v>-532054.09170329582</v>
      </c>
      <c r="H10" s="23" t="s">
        <v>4</v>
      </c>
      <c r="I10" s="2"/>
    </row>
    <row r="11" spans="1:9" x14ac:dyDescent="0.25">
      <c r="A11" s="2"/>
      <c r="B11" s="100" t="s">
        <v>16</v>
      </c>
      <c r="C11" s="89"/>
      <c r="D11" s="89"/>
      <c r="E11" s="89"/>
      <c r="F11" s="90"/>
      <c r="G11" s="37">
        <f>2</f>
        <v>2</v>
      </c>
      <c r="H11" s="23" t="s">
        <v>38</v>
      </c>
      <c r="I11" s="2"/>
    </row>
    <row r="12" spans="1:9" x14ac:dyDescent="0.25">
      <c r="A12" s="2"/>
      <c r="B12" s="101" t="s">
        <v>39</v>
      </c>
      <c r="C12" s="102"/>
      <c r="D12" s="102"/>
      <c r="E12" s="102"/>
      <c r="F12" s="103"/>
      <c r="G12" s="18">
        <f>($G$9+$G$10)*(1+'Fane 2.1. Økonomisk ramme 2018'!E19/100)*$G$11/100</f>
        <v>469961.36008298083</v>
      </c>
      <c r="H12" s="38" t="s">
        <v>4</v>
      </c>
      <c r="I12" s="2"/>
    </row>
    <row r="13" spans="1:9" x14ac:dyDescent="0.25">
      <c r="A13" s="2"/>
      <c r="B13" s="100" t="s">
        <v>48</v>
      </c>
      <c r="C13" s="89"/>
      <c r="D13" s="89"/>
      <c r="E13" s="89"/>
      <c r="F13" s="90"/>
      <c r="G13" s="12">
        <f>'Fane 3. Korrigeret grundlag'!G10+SUM('Fane 2.1. Økonomisk ramme 2018'!E15,'Fane 2.1. Økonomisk ramme 2018'!E18)</f>
        <v>44210196.471821785</v>
      </c>
      <c r="H13" s="23" t="s">
        <v>4</v>
      </c>
      <c r="I13" s="2"/>
    </row>
    <row r="14" spans="1:9" x14ac:dyDescent="0.25">
      <c r="A14" s="2"/>
      <c r="B14" s="48" t="s">
        <v>213</v>
      </c>
      <c r="C14" s="49"/>
      <c r="D14" s="49"/>
      <c r="E14" s="49"/>
      <c r="F14" s="50"/>
      <c r="G14" s="12">
        <v>-389604.69085353985</v>
      </c>
      <c r="H14" s="23" t="s">
        <v>4</v>
      </c>
      <c r="I14" s="2"/>
    </row>
    <row r="15" spans="1:9" x14ac:dyDescent="0.25">
      <c r="A15" s="2"/>
      <c r="B15" s="100" t="s">
        <v>16</v>
      </c>
      <c r="C15" s="89"/>
      <c r="D15" s="89"/>
      <c r="E15" s="89"/>
      <c r="F15" s="90"/>
      <c r="G15" s="30">
        <v>1.77</v>
      </c>
      <c r="H15" s="23" t="s">
        <v>38</v>
      </c>
      <c r="I15" s="2"/>
    </row>
    <row r="16" spans="1:9" x14ac:dyDescent="0.25">
      <c r="A16" s="2"/>
      <c r="B16" s="101" t="s">
        <v>40</v>
      </c>
      <c r="C16" s="102"/>
      <c r="D16" s="102"/>
      <c r="E16" s="102"/>
      <c r="F16" s="103"/>
      <c r="G16" s="18">
        <f>($G$13+$G$14)*(1+'Fane 2.1. Økonomisk ramme 2018'!E19/100)*$G$15/100</f>
        <v>789197.90282729303</v>
      </c>
      <c r="H16" s="3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1259159.2629102739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9" t="s">
        <v>73</v>
      </c>
      <c r="C3" s="99"/>
      <c r="D3" s="99"/>
      <c r="E3" s="99"/>
      <c r="F3" s="99"/>
      <c r="G3" s="99"/>
      <c r="H3" s="99"/>
      <c r="I3" s="2"/>
    </row>
    <row r="4" spans="1:9" ht="15" customHeight="1" x14ac:dyDescent="0.25">
      <c r="A4" s="2"/>
      <c r="B4" s="99"/>
      <c r="C4" s="99"/>
      <c r="D4" s="99"/>
      <c r="E4" s="99"/>
      <c r="F4" s="99"/>
      <c r="G4" s="99"/>
      <c r="H4" s="9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100" t="s">
        <v>42</v>
      </c>
      <c r="C9" s="89"/>
      <c r="D9" s="89"/>
      <c r="E9" s="89"/>
      <c r="F9" s="90"/>
      <c r="G9" s="27">
        <v>-3544390</v>
      </c>
      <c r="H9" s="23" t="s">
        <v>4</v>
      </c>
      <c r="I9" s="2"/>
    </row>
    <row r="10" spans="1:9" x14ac:dyDescent="0.25">
      <c r="A10" s="2"/>
      <c r="B10" s="100" t="s">
        <v>122</v>
      </c>
      <c r="C10" s="89"/>
      <c r="D10" s="89"/>
      <c r="E10" s="89"/>
      <c r="F10" s="90"/>
      <c r="G10" s="27">
        <v>-1653206.8650793647</v>
      </c>
      <c r="H10" s="23" t="s">
        <v>4</v>
      </c>
      <c r="I10" s="2"/>
    </row>
    <row r="11" spans="1:9" x14ac:dyDescent="0.25">
      <c r="A11" s="2"/>
      <c r="B11" s="117" t="s">
        <v>45</v>
      </c>
      <c r="C11" s="118"/>
      <c r="D11" s="118"/>
      <c r="E11" s="118"/>
      <c r="F11" s="119"/>
      <c r="G11" s="57">
        <f>G9-G10</f>
        <v>-1891183.1349206353</v>
      </c>
      <c r="H11" s="39" t="s">
        <v>4</v>
      </c>
      <c r="I11" s="2"/>
    </row>
    <row r="12" spans="1:9" x14ac:dyDescent="0.25">
      <c r="A12" s="2"/>
      <c r="B12" s="100" t="s">
        <v>43</v>
      </c>
      <c r="C12" s="89"/>
      <c r="D12" s="89"/>
      <c r="E12" s="89"/>
      <c r="F12" s="90"/>
      <c r="G12" s="27">
        <v>3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-630394.37830687838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9" t="s">
        <v>74</v>
      </c>
      <c r="C3" s="99"/>
      <c r="D3" s="99"/>
      <c r="E3" s="99"/>
      <c r="F3" s="99"/>
      <c r="G3" s="99"/>
      <c r="H3" s="2"/>
    </row>
    <row r="4" spans="1:8" ht="15" customHeight="1" x14ac:dyDescent="0.25">
      <c r="A4" s="2"/>
      <c r="B4" s="99"/>
      <c r="C4" s="99"/>
      <c r="D4" s="99"/>
      <c r="E4" s="99"/>
      <c r="F4" s="99"/>
      <c r="G4" s="9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0" t="s">
        <v>3</v>
      </c>
      <c r="G9" s="120"/>
      <c r="H9" s="2"/>
    </row>
    <row r="10" spans="1:8" x14ac:dyDescent="0.25">
      <c r="A10" s="2"/>
      <c r="B10" s="47" t="s">
        <v>149</v>
      </c>
      <c r="C10" s="41">
        <v>2016</v>
      </c>
      <c r="D10" s="28">
        <v>60</v>
      </c>
      <c r="E10" s="27">
        <v>135285</v>
      </c>
      <c r="F10" s="12">
        <f>E10/D10</f>
        <v>2254.75</v>
      </c>
      <c r="G10" s="23" t="s">
        <v>4</v>
      </c>
      <c r="H10" s="2"/>
    </row>
    <row r="11" spans="1:8" x14ac:dyDescent="0.25">
      <c r="A11" s="2"/>
      <c r="B11" s="47" t="s">
        <v>150</v>
      </c>
      <c r="C11" s="41">
        <v>2016</v>
      </c>
      <c r="D11" s="28">
        <v>20</v>
      </c>
      <c r="E11" s="27">
        <v>127905</v>
      </c>
      <c r="F11" s="12">
        <f t="shared" ref="F11:F53" si="0">E11/D11</f>
        <v>6395.25</v>
      </c>
      <c r="G11" s="23" t="s">
        <v>4</v>
      </c>
      <c r="H11" s="2"/>
    </row>
    <row r="12" spans="1:8" x14ac:dyDescent="0.25">
      <c r="A12" s="2"/>
      <c r="B12" s="47" t="s">
        <v>151</v>
      </c>
      <c r="C12" s="41">
        <v>2016</v>
      </c>
      <c r="D12" s="28">
        <v>20</v>
      </c>
      <c r="E12" s="27">
        <v>133430</v>
      </c>
      <c r="F12" s="12">
        <f t="shared" si="0"/>
        <v>6671.5</v>
      </c>
      <c r="G12" s="23" t="s">
        <v>4</v>
      </c>
      <c r="H12" s="2"/>
    </row>
    <row r="13" spans="1:8" ht="26.25" x14ac:dyDescent="0.25">
      <c r="A13" s="2"/>
      <c r="B13" s="47" t="s">
        <v>152</v>
      </c>
      <c r="C13" s="41">
        <v>2016</v>
      </c>
      <c r="D13" s="28">
        <v>20</v>
      </c>
      <c r="E13" s="27">
        <v>4018099</v>
      </c>
      <c r="F13" s="12">
        <f t="shared" si="0"/>
        <v>200904.95</v>
      </c>
      <c r="G13" s="23" t="s">
        <v>4</v>
      </c>
      <c r="H13" s="2"/>
    </row>
    <row r="14" spans="1:8" ht="26.25" x14ac:dyDescent="0.25">
      <c r="A14" s="2"/>
      <c r="B14" s="47" t="s">
        <v>153</v>
      </c>
      <c r="C14" s="41">
        <v>2016</v>
      </c>
      <c r="D14" s="28">
        <v>10</v>
      </c>
      <c r="E14" s="27">
        <v>480456</v>
      </c>
      <c r="F14" s="12">
        <f t="shared" si="0"/>
        <v>48045.599999999999</v>
      </c>
      <c r="G14" s="23" t="s">
        <v>4</v>
      </c>
      <c r="H14" s="2"/>
    </row>
    <row r="15" spans="1:8" x14ac:dyDescent="0.25">
      <c r="A15" s="2"/>
      <c r="B15" s="47" t="s">
        <v>154</v>
      </c>
      <c r="C15" s="41">
        <v>2016</v>
      </c>
      <c r="D15" s="28">
        <v>50</v>
      </c>
      <c r="E15" s="27">
        <v>587950</v>
      </c>
      <c r="F15" s="12">
        <f t="shared" si="0"/>
        <v>11759</v>
      </c>
      <c r="G15" s="23" t="s">
        <v>4</v>
      </c>
      <c r="H15" s="2"/>
    </row>
    <row r="16" spans="1:8" ht="26.25" x14ac:dyDescent="0.25">
      <c r="A16" s="2"/>
      <c r="B16" s="47" t="s">
        <v>155</v>
      </c>
      <c r="C16" s="41">
        <v>2016</v>
      </c>
      <c r="D16" s="28">
        <v>50</v>
      </c>
      <c r="E16" s="27">
        <v>2428827</v>
      </c>
      <c r="F16" s="12">
        <f t="shared" si="0"/>
        <v>48576.54</v>
      </c>
      <c r="G16" s="23" t="s">
        <v>4</v>
      </c>
      <c r="H16" s="2"/>
    </row>
    <row r="17" spans="1:8" ht="26.25" x14ac:dyDescent="0.25">
      <c r="A17" s="2"/>
      <c r="B17" s="47" t="s">
        <v>156</v>
      </c>
      <c r="C17" s="41">
        <v>2016</v>
      </c>
      <c r="D17" s="28">
        <v>50</v>
      </c>
      <c r="E17" s="27">
        <v>2937304</v>
      </c>
      <c r="F17" s="12">
        <f t="shared" si="0"/>
        <v>58746.080000000002</v>
      </c>
      <c r="G17" s="23" t="s">
        <v>4</v>
      </c>
      <c r="H17" s="2"/>
    </row>
    <row r="18" spans="1:8" x14ac:dyDescent="0.25">
      <c r="A18" s="2"/>
      <c r="B18" s="47" t="s">
        <v>157</v>
      </c>
      <c r="C18" s="41">
        <v>2016</v>
      </c>
      <c r="D18" s="28">
        <v>75</v>
      </c>
      <c r="E18" s="27">
        <v>420000</v>
      </c>
      <c r="F18" s="12">
        <f t="shared" si="0"/>
        <v>5600</v>
      </c>
      <c r="G18" s="23" t="s">
        <v>4</v>
      </c>
      <c r="H18" s="2"/>
    </row>
    <row r="19" spans="1:8" x14ac:dyDescent="0.25">
      <c r="A19" s="2"/>
      <c r="B19" s="47" t="s">
        <v>158</v>
      </c>
      <c r="C19" s="41">
        <v>2016</v>
      </c>
      <c r="D19" s="28">
        <v>75</v>
      </c>
      <c r="E19" s="27">
        <v>42000</v>
      </c>
      <c r="F19" s="12">
        <f t="shared" si="0"/>
        <v>560</v>
      </c>
      <c r="G19" s="23" t="s">
        <v>4</v>
      </c>
      <c r="H19" s="2"/>
    </row>
    <row r="20" spans="1:8" x14ac:dyDescent="0.25">
      <c r="A20" s="2"/>
      <c r="B20" s="47" t="s">
        <v>159</v>
      </c>
      <c r="C20" s="41">
        <v>2016</v>
      </c>
      <c r="D20" s="28">
        <v>75</v>
      </c>
      <c r="E20" s="27">
        <v>68000</v>
      </c>
      <c r="F20" s="12">
        <f t="shared" si="0"/>
        <v>906.66666666666663</v>
      </c>
      <c r="G20" s="23" t="s">
        <v>4</v>
      </c>
      <c r="H20" s="2"/>
    </row>
    <row r="21" spans="1:8" ht="26.25" x14ac:dyDescent="0.25">
      <c r="A21" s="2"/>
      <c r="B21" s="47" t="s">
        <v>160</v>
      </c>
      <c r="C21" s="41">
        <v>2016</v>
      </c>
      <c r="D21" s="28">
        <v>75</v>
      </c>
      <c r="E21" s="27">
        <v>5781644</v>
      </c>
      <c r="F21" s="12">
        <f t="shared" si="0"/>
        <v>77088.58666666667</v>
      </c>
      <c r="G21" s="23" t="s">
        <v>4</v>
      </c>
      <c r="H21" s="2"/>
    </row>
    <row r="22" spans="1:8" x14ac:dyDescent="0.25">
      <c r="A22" s="2"/>
      <c r="B22" s="47" t="s">
        <v>154</v>
      </c>
      <c r="C22" s="41">
        <v>2016</v>
      </c>
      <c r="D22" s="28">
        <v>50</v>
      </c>
      <c r="E22" s="27">
        <v>1367313</v>
      </c>
      <c r="F22" s="12">
        <f t="shared" si="0"/>
        <v>27346.26</v>
      </c>
      <c r="G22" s="23" t="s">
        <v>4</v>
      </c>
      <c r="H22" s="2"/>
    </row>
    <row r="23" spans="1:8" ht="26.25" x14ac:dyDescent="0.25">
      <c r="A23" s="2"/>
      <c r="B23" s="47" t="s">
        <v>155</v>
      </c>
      <c r="C23" s="41">
        <v>2016</v>
      </c>
      <c r="D23" s="28">
        <v>50</v>
      </c>
      <c r="E23" s="27">
        <v>2900364</v>
      </c>
      <c r="F23" s="12">
        <f t="shared" si="0"/>
        <v>58007.28</v>
      </c>
      <c r="G23" s="23" t="s">
        <v>4</v>
      </c>
      <c r="H23" s="2"/>
    </row>
    <row r="24" spans="1:8" ht="26.25" x14ac:dyDescent="0.25">
      <c r="A24" s="2"/>
      <c r="B24" s="47" t="s">
        <v>156</v>
      </c>
      <c r="C24" s="41">
        <v>2016</v>
      </c>
      <c r="D24" s="28">
        <v>50</v>
      </c>
      <c r="E24" s="27">
        <v>187959</v>
      </c>
      <c r="F24" s="12">
        <f t="shared" si="0"/>
        <v>3759.18</v>
      </c>
      <c r="G24" s="23" t="s">
        <v>4</v>
      </c>
      <c r="H24" s="2"/>
    </row>
    <row r="25" spans="1:8" ht="26.25" x14ac:dyDescent="0.25">
      <c r="A25" s="2"/>
      <c r="B25" s="47" t="s">
        <v>161</v>
      </c>
      <c r="C25" s="41">
        <v>2016</v>
      </c>
      <c r="D25" s="28">
        <v>50</v>
      </c>
      <c r="E25" s="27">
        <v>838641</v>
      </c>
      <c r="F25" s="12">
        <f t="shared" si="0"/>
        <v>16772.82</v>
      </c>
      <c r="G25" s="23" t="s">
        <v>4</v>
      </c>
      <c r="H25" s="2"/>
    </row>
    <row r="26" spans="1:8" x14ac:dyDescent="0.25">
      <c r="A26" s="2"/>
      <c r="B26" s="47" t="s">
        <v>162</v>
      </c>
      <c r="C26" s="41">
        <v>2016</v>
      </c>
      <c r="D26" s="28">
        <v>75</v>
      </c>
      <c r="E26" s="27">
        <v>105000</v>
      </c>
      <c r="F26" s="12">
        <f t="shared" si="0"/>
        <v>1400</v>
      </c>
      <c r="G26" s="23" t="s">
        <v>4</v>
      </c>
      <c r="H26" s="2"/>
    </row>
    <row r="27" spans="1:8" x14ac:dyDescent="0.25">
      <c r="A27" s="2"/>
      <c r="B27" s="47" t="s">
        <v>163</v>
      </c>
      <c r="C27" s="41">
        <v>2016</v>
      </c>
      <c r="D27" s="28">
        <v>75</v>
      </c>
      <c r="E27" s="27">
        <v>85000</v>
      </c>
      <c r="F27" s="12">
        <f t="shared" si="0"/>
        <v>1133.3333333333333</v>
      </c>
      <c r="G27" s="23" t="s">
        <v>4</v>
      </c>
      <c r="H27" s="2"/>
    </row>
    <row r="28" spans="1:8" x14ac:dyDescent="0.25">
      <c r="A28" s="2"/>
      <c r="B28" s="47" t="s">
        <v>162</v>
      </c>
      <c r="C28" s="41">
        <v>2016</v>
      </c>
      <c r="D28" s="28">
        <v>75</v>
      </c>
      <c r="E28" s="27">
        <v>591285</v>
      </c>
      <c r="F28" s="12">
        <f t="shared" si="0"/>
        <v>7883.8</v>
      </c>
      <c r="G28" s="23" t="s">
        <v>4</v>
      </c>
      <c r="H28" s="2"/>
    </row>
    <row r="29" spans="1:8" ht="26.25" x14ac:dyDescent="0.25">
      <c r="A29" s="2"/>
      <c r="B29" s="47" t="s">
        <v>164</v>
      </c>
      <c r="C29" s="41">
        <v>2016</v>
      </c>
      <c r="D29" s="28">
        <v>50</v>
      </c>
      <c r="E29" s="27">
        <v>700000</v>
      </c>
      <c r="F29" s="12">
        <f t="shared" si="0"/>
        <v>14000</v>
      </c>
      <c r="G29" s="23" t="s">
        <v>4</v>
      </c>
      <c r="H29" s="2"/>
    </row>
    <row r="30" spans="1:8" x14ac:dyDescent="0.25">
      <c r="A30" s="2"/>
      <c r="B30" s="47" t="s">
        <v>165</v>
      </c>
      <c r="C30" s="41">
        <v>2016</v>
      </c>
      <c r="D30" s="28">
        <v>20</v>
      </c>
      <c r="E30" s="27">
        <v>5973957</v>
      </c>
      <c r="F30" s="12">
        <f t="shared" si="0"/>
        <v>298697.84999999998</v>
      </c>
      <c r="G30" s="23" t="s">
        <v>4</v>
      </c>
      <c r="H30" s="2"/>
    </row>
    <row r="31" spans="1:8" x14ac:dyDescent="0.25">
      <c r="A31" s="2"/>
      <c r="B31" s="47" t="s">
        <v>166</v>
      </c>
      <c r="C31" s="41">
        <v>2016</v>
      </c>
      <c r="D31" s="28">
        <v>10</v>
      </c>
      <c r="E31" s="27">
        <v>697100</v>
      </c>
      <c r="F31" s="12">
        <f t="shared" si="0"/>
        <v>69710</v>
      </c>
      <c r="G31" s="23" t="s">
        <v>4</v>
      </c>
      <c r="H31" s="2"/>
    </row>
    <row r="32" spans="1:8" x14ac:dyDescent="0.25">
      <c r="A32" s="2"/>
      <c r="B32" s="47" t="s">
        <v>165</v>
      </c>
      <c r="C32" s="41">
        <v>2016</v>
      </c>
      <c r="D32" s="28">
        <v>20</v>
      </c>
      <c r="E32" s="27">
        <v>1278592</v>
      </c>
      <c r="F32" s="12">
        <f t="shared" si="0"/>
        <v>63929.599999999999</v>
      </c>
      <c r="G32" s="23" t="s">
        <v>4</v>
      </c>
      <c r="H32" s="2"/>
    </row>
    <row r="33" spans="1:8" x14ac:dyDescent="0.25">
      <c r="A33" s="2"/>
      <c r="B33" s="47" t="s">
        <v>166</v>
      </c>
      <c r="C33" s="41">
        <v>2016</v>
      </c>
      <c r="D33" s="28">
        <v>10</v>
      </c>
      <c r="E33" s="27">
        <v>1860261</v>
      </c>
      <c r="F33" s="12">
        <f t="shared" si="0"/>
        <v>186026.1</v>
      </c>
      <c r="G33" s="23" t="s">
        <v>4</v>
      </c>
      <c r="H33" s="2"/>
    </row>
    <row r="34" spans="1:8" ht="26.25" x14ac:dyDescent="0.25">
      <c r="A34" s="2"/>
      <c r="B34" s="47" t="s">
        <v>167</v>
      </c>
      <c r="C34" s="41">
        <v>2016</v>
      </c>
      <c r="D34" s="28">
        <v>10</v>
      </c>
      <c r="E34" s="27">
        <v>337749</v>
      </c>
      <c r="F34" s="12">
        <f t="shared" si="0"/>
        <v>33774.9</v>
      </c>
      <c r="G34" s="23" t="s">
        <v>4</v>
      </c>
      <c r="H34" s="2"/>
    </row>
    <row r="35" spans="1:8" x14ac:dyDescent="0.25">
      <c r="A35" s="2"/>
      <c r="B35" s="47" t="s">
        <v>168</v>
      </c>
      <c r="C35" s="41">
        <v>2016</v>
      </c>
      <c r="D35" s="28">
        <v>75</v>
      </c>
      <c r="E35" s="27">
        <v>60000</v>
      </c>
      <c r="F35" s="12">
        <f t="shared" si="0"/>
        <v>800</v>
      </c>
      <c r="G35" s="23" t="s">
        <v>4</v>
      </c>
      <c r="H35" s="2"/>
    </row>
    <row r="36" spans="1:8" ht="26.25" x14ac:dyDescent="0.25">
      <c r="A36" s="2"/>
      <c r="B36" s="47" t="s">
        <v>169</v>
      </c>
      <c r="C36" s="41">
        <v>2016</v>
      </c>
      <c r="D36" s="28">
        <v>20</v>
      </c>
      <c r="E36" s="27">
        <v>152903</v>
      </c>
      <c r="F36" s="12">
        <f t="shared" si="0"/>
        <v>7645.15</v>
      </c>
      <c r="G36" s="23" t="s">
        <v>4</v>
      </c>
      <c r="H36" s="2"/>
    </row>
    <row r="37" spans="1:8" ht="26.25" x14ac:dyDescent="0.25">
      <c r="A37" s="2"/>
      <c r="B37" s="47" t="s">
        <v>170</v>
      </c>
      <c r="C37" s="41">
        <v>2016</v>
      </c>
      <c r="D37" s="28">
        <v>10</v>
      </c>
      <c r="E37" s="27">
        <v>65530</v>
      </c>
      <c r="F37" s="12">
        <f t="shared" si="0"/>
        <v>6553</v>
      </c>
      <c r="G37" s="23" t="s">
        <v>4</v>
      </c>
      <c r="H37" s="2"/>
    </row>
    <row r="38" spans="1:8" ht="26.25" x14ac:dyDescent="0.25">
      <c r="A38" s="2"/>
      <c r="B38" s="47" t="s">
        <v>171</v>
      </c>
      <c r="C38" s="41">
        <v>2016</v>
      </c>
      <c r="D38" s="28">
        <v>10</v>
      </c>
      <c r="E38" s="27">
        <v>20000</v>
      </c>
      <c r="F38" s="12">
        <f t="shared" si="0"/>
        <v>2000</v>
      </c>
      <c r="G38" s="23" t="s">
        <v>4</v>
      </c>
      <c r="H38" s="2"/>
    </row>
    <row r="39" spans="1:8" x14ac:dyDescent="0.25">
      <c r="A39" s="2"/>
      <c r="B39" s="47" t="s">
        <v>168</v>
      </c>
      <c r="C39" s="41">
        <v>2016</v>
      </c>
      <c r="D39" s="28">
        <v>75</v>
      </c>
      <c r="E39" s="27">
        <v>78000</v>
      </c>
      <c r="F39" s="12">
        <f t="shared" si="0"/>
        <v>1040</v>
      </c>
      <c r="G39" s="23" t="s">
        <v>4</v>
      </c>
      <c r="H39" s="2"/>
    </row>
    <row r="40" spans="1:8" ht="26.25" x14ac:dyDescent="0.25">
      <c r="A40" s="2"/>
      <c r="B40" s="47" t="s">
        <v>169</v>
      </c>
      <c r="C40" s="41">
        <v>2016</v>
      </c>
      <c r="D40" s="28">
        <v>20</v>
      </c>
      <c r="E40" s="27">
        <v>1165689</v>
      </c>
      <c r="F40" s="12">
        <f t="shared" si="0"/>
        <v>58284.45</v>
      </c>
      <c r="G40" s="23" t="s">
        <v>4</v>
      </c>
      <c r="H40" s="2"/>
    </row>
    <row r="41" spans="1:8" ht="26.25" x14ac:dyDescent="0.25">
      <c r="A41" s="2"/>
      <c r="B41" s="47" t="s">
        <v>170</v>
      </c>
      <c r="C41" s="41">
        <v>2016</v>
      </c>
      <c r="D41" s="28">
        <v>10</v>
      </c>
      <c r="E41" s="27">
        <v>362120</v>
      </c>
      <c r="F41" s="12">
        <f t="shared" si="0"/>
        <v>36212</v>
      </c>
      <c r="G41" s="23" t="s">
        <v>4</v>
      </c>
      <c r="H41" s="2"/>
    </row>
    <row r="42" spans="1:8" ht="39" x14ac:dyDescent="0.25">
      <c r="A42" s="2"/>
      <c r="B42" s="47" t="s">
        <v>172</v>
      </c>
      <c r="C42" s="41">
        <v>2016</v>
      </c>
      <c r="D42" s="28">
        <v>75</v>
      </c>
      <c r="E42" s="27">
        <v>7742728</v>
      </c>
      <c r="F42" s="12">
        <f t="shared" si="0"/>
        <v>103236.37333333334</v>
      </c>
      <c r="G42" s="23" t="s">
        <v>4</v>
      </c>
      <c r="H42" s="2"/>
    </row>
    <row r="43" spans="1:8" ht="39" x14ac:dyDescent="0.25">
      <c r="A43" s="2"/>
      <c r="B43" s="47" t="s">
        <v>173</v>
      </c>
      <c r="C43" s="41">
        <v>2016</v>
      </c>
      <c r="D43" s="28">
        <v>20</v>
      </c>
      <c r="E43" s="27">
        <v>1000000</v>
      </c>
      <c r="F43" s="12">
        <f t="shared" si="0"/>
        <v>50000</v>
      </c>
      <c r="G43" s="23" t="s">
        <v>4</v>
      </c>
      <c r="H43" s="2"/>
    </row>
    <row r="44" spans="1:8" ht="39" x14ac:dyDescent="0.25">
      <c r="A44" s="2"/>
      <c r="B44" s="47" t="s">
        <v>174</v>
      </c>
      <c r="C44" s="41">
        <v>2016</v>
      </c>
      <c r="D44" s="28">
        <v>10</v>
      </c>
      <c r="E44" s="27">
        <v>120000</v>
      </c>
      <c r="F44" s="12">
        <f t="shared" si="0"/>
        <v>12000</v>
      </c>
      <c r="G44" s="23" t="s">
        <v>4</v>
      </c>
      <c r="H44" s="2"/>
    </row>
    <row r="45" spans="1:8" x14ac:dyDescent="0.25">
      <c r="A45" s="2"/>
      <c r="B45" s="47" t="s">
        <v>175</v>
      </c>
      <c r="C45" s="41">
        <v>2016</v>
      </c>
      <c r="D45" s="28">
        <v>50</v>
      </c>
      <c r="E45" s="27">
        <v>400000</v>
      </c>
      <c r="F45" s="12">
        <f t="shared" si="0"/>
        <v>8000</v>
      </c>
      <c r="G45" s="23" t="s">
        <v>4</v>
      </c>
      <c r="H45" s="2"/>
    </row>
    <row r="46" spans="1:8" x14ac:dyDescent="0.25">
      <c r="A46" s="2"/>
      <c r="B46" s="47" t="s">
        <v>176</v>
      </c>
      <c r="C46" s="41">
        <v>2016</v>
      </c>
      <c r="D46" s="28">
        <v>5</v>
      </c>
      <c r="E46" s="27">
        <v>105471</v>
      </c>
      <c r="F46" s="12">
        <f t="shared" si="0"/>
        <v>21094.2</v>
      </c>
      <c r="G46" s="23" t="s">
        <v>4</v>
      </c>
      <c r="H46" s="2"/>
    </row>
    <row r="47" spans="1:8" x14ac:dyDescent="0.25">
      <c r="A47" s="2"/>
      <c r="B47" s="47" t="s">
        <v>177</v>
      </c>
      <c r="C47" s="41">
        <v>2016</v>
      </c>
      <c r="D47" s="28">
        <v>10</v>
      </c>
      <c r="E47" s="27">
        <v>889237</v>
      </c>
      <c r="F47" s="12">
        <f t="shared" si="0"/>
        <v>88923.7</v>
      </c>
      <c r="G47" s="23" t="s">
        <v>4</v>
      </c>
      <c r="H47" s="2"/>
    </row>
    <row r="48" spans="1:8" x14ac:dyDescent="0.25">
      <c r="A48" s="2"/>
      <c r="B48" s="47" t="s">
        <v>178</v>
      </c>
      <c r="C48" s="41">
        <v>2016</v>
      </c>
      <c r="D48" s="28">
        <v>10</v>
      </c>
      <c r="E48" s="27">
        <v>392686</v>
      </c>
      <c r="F48" s="12">
        <f t="shared" si="0"/>
        <v>39268.6</v>
      </c>
      <c r="G48" s="23" t="s">
        <v>4</v>
      </c>
      <c r="H48" s="2"/>
    </row>
    <row r="49" spans="1:8" ht="26.25" x14ac:dyDescent="0.25">
      <c r="A49" s="2"/>
      <c r="B49" s="47" t="s">
        <v>179</v>
      </c>
      <c r="C49" s="41">
        <v>2016</v>
      </c>
      <c r="D49" s="28">
        <v>5</v>
      </c>
      <c r="E49" s="27">
        <v>985133</v>
      </c>
      <c r="F49" s="12">
        <f t="shared" si="0"/>
        <v>197026.6</v>
      </c>
      <c r="G49" s="23" t="s">
        <v>4</v>
      </c>
      <c r="H49" s="2"/>
    </row>
    <row r="50" spans="1:8" ht="26.25" x14ac:dyDescent="0.25">
      <c r="A50" s="2"/>
      <c r="B50" s="47" t="s">
        <v>180</v>
      </c>
      <c r="C50" s="41">
        <v>2016</v>
      </c>
      <c r="D50" s="28">
        <v>30</v>
      </c>
      <c r="E50" s="27">
        <v>419152</v>
      </c>
      <c r="F50" s="12">
        <f t="shared" si="0"/>
        <v>13971.733333333334</v>
      </c>
      <c r="G50" s="23" t="s">
        <v>4</v>
      </c>
      <c r="H50" s="2"/>
    </row>
    <row r="51" spans="1:8" ht="26.25" x14ac:dyDescent="0.25">
      <c r="A51" s="2"/>
      <c r="B51" s="47" t="s">
        <v>181</v>
      </c>
      <c r="C51" s="41">
        <v>2016</v>
      </c>
      <c r="D51" s="28">
        <v>30</v>
      </c>
      <c r="E51" s="27">
        <v>2275359</v>
      </c>
      <c r="F51" s="12">
        <f t="shared" si="0"/>
        <v>75845.3</v>
      </c>
      <c r="G51" s="23" t="s">
        <v>4</v>
      </c>
      <c r="H51" s="2"/>
    </row>
    <row r="52" spans="1:8" x14ac:dyDescent="0.25">
      <c r="A52" s="2"/>
      <c r="B52" s="47" t="s">
        <v>163</v>
      </c>
      <c r="C52" s="41">
        <v>2016</v>
      </c>
      <c r="D52" s="28">
        <v>40</v>
      </c>
      <c r="E52" s="27">
        <v>162000</v>
      </c>
      <c r="F52" s="12">
        <f t="shared" si="0"/>
        <v>4050</v>
      </c>
      <c r="G52" s="23" t="s">
        <v>4</v>
      </c>
      <c r="H52" s="2"/>
    </row>
    <row r="53" spans="1:8" x14ac:dyDescent="0.25">
      <c r="A53" s="2"/>
      <c r="B53" s="47" t="s">
        <v>163</v>
      </c>
      <c r="C53" s="41">
        <v>2016</v>
      </c>
      <c r="D53" s="28">
        <v>40</v>
      </c>
      <c r="E53" s="27">
        <v>337500</v>
      </c>
      <c r="F53" s="12">
        <f t="shared" si="0"/>
        <v>8437.5</v>
      </c>
      <c r="G53" s="23" t="s">
        <v>4</v>
      </c>
      <c r="H53" s="2"/>
    </row>
    <row r="54" spans="1:8" x14ac:dyDescent="0.25">
      <c r="A54" s="2"/>
      <c r="B54" s="85" t="s">
        <v>76</v>
      </c>
      <c r="C54" s="86"/>
      <c r="D54" s="86"/>
      <c r="E54" s="87"/>
      <c r="F54" s="21">
        <f>SUM(F10:F53)</f>
        <v>1984338.6533333333</v>
      </c>
      <c r="G54" s="22" t="s">
        <v>4</v>
      </c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</sheetData>
  <sheetProtection password="DFE9" sheet="1" objects="1" scenarios="1"/>
  <mergeCells count="4">
    <mergeCell ref="B54:E5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2017-10-13T13:07:10Z</dcterms:modified>
</cp:coreProperties>
</file>