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Klima" sheetId="22" r:id="rId14"/>
  </sheets>
  <calcPr calcId="145621"/>
</workbook>
</file>

<file path=xl/calcChain.xml><?xml version="1.0" encoding="utf-8"?>
<calcChain xmlns="http://schemas.openxmlformats.org/spreadsheetml/2006/main">
  <c r="G36" i="12" l="1"/>
  <c r="G11" i="22" l="1"/>
  <c r="E24" i="2" s="1"/>
  <c r="G24" i="2" s="1"/>
  <c r="E16" i="15" l="1"/>
  <c r="G16" i="15" s="1"/>
  <c r="G19" i="15" s="1"/>
  <c r="E12" i="2"/>
  <c r="G13" i="10" l="1"/>
  <c r="G11" i="10" l="1"/>
  <c r="F18" i="20"/>
  <c r="F19" i="20" s="1"/>
  <c r="E15" i="2" s="1"/>
  <c r="G19" i="19" l="1"/>
  <c r="G20" i="19" s="1"/>
  <c r="E11" i="2" s="1"/>
  <c r="F21" i="11" l="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3" i="9" s="1"/>
  <c r="G16" i="9" s="1"/>
  <c r="D11" i="20"/>
  <c r="D12" i="20" s="1"/>
  <c r="E13" i="2" s="1"/>
  <c r="E17" i="2"/>
  <c r="E16" i="2"/>
  <c r="G9" i="9" l="1"/>
  <c r="G9" i="8"/>
  <c r="G12" i="8" s="1"/>
  <c r="E10" i="2"/>
  <c r="E10" i="15" s="1"/>
  <c r="G12" i="7"/>
  <c r="E9" i="2" l="1"/>
  <c r="E15" i="13"/>
  <c r="F11" i="11"/>
  <c r="F22" i="11"/>
  <c r="E19" i="2" l="1"/>
  <c r="E18" i="15"/>
  <c r="G18" i="15" s="1"/>
  <c r="G11" i="9" l="1"/>
  <c r="G12" i="9" s="1"/>
  <c r="E13" i="15" s="1"/>
  <c r="G30" i="13"/>
  <c r="E35" i="13" l="1"/>
  <c r="G35" i="13" s="1"/>
  <c r="E27" i="13"/>
  <c r="E19" i="13"/>
  <c r="G11" i="12"/>
  <c r="E28" i="2" s="1"/>
  <c r="G29" i="12"/>
  <c r="E31" i="2" s="1"/>
  <c r="G23" i="12"/>
  <c r="E30" i="2" s="1"/>
  <c r="G17" i="12"/>
  <c r="E29" i="2" s="1"/>
  <c r="F10" i="11"/>
  <c r="F23" i="11" s="1"/>
  <c r="E26" i="2"/>
  <c r="G26" i="2" s="1"/>
  <c r="G33" i="12" l="1"/>
  <c r="E32" i="2" s="1"/>
  <c r="E28" i="13"/>
  <c r="G28" i="13" s="1"/>
  <c r="G36" i="13" s="1"/>
  <c r="E35" i="2" s="1"/>
  <c r="G35" i="2" s="1"/>
  <c r="G17" i="9"/>
  <c r="E21" i="2" s="1"/>
  <c r="E33" i="2" l="1"/>
  <c r="G33" i="2" s="1"/>
  <c r="G36" i="2" s="1"/>
  <c r="E20" i="2" l="1"/>
  <c r="E22" i="2" s="1"/>
  <c r="G22" i="2" l="1"/>
  <c r="E9" i="15" l="1"/>
  <c r="E12" i="15" s="1"/>
  <c r="E11" i="15" l="1"/>
  <c r="E14" i="15" s="1"/>
  <c r="G14" i="15" s="1"/>
</calcChain>
</file>

<file path=xl/sharedStrings.xml><?xml version="1.0" encoding="utf-8"?>
<sst xmlns="http://schemas.openxmlformats.org/spreadsheetml/2006/main" count="380" uniqueCount="196">
  <si>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</si>
  <si>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</si>
  <si>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</si>
  <si>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</si>
  <si>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</si>
  <si>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</si>
  <si>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</si>
  <si>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</si>
  <si>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</si>
  <si>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</si>
  <si>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</si>
  <si>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</si>
  <si>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</si>
  <si>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</si>
  <si>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</si>
  <si>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</si>
  <si>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</si>
  <si>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</si>
  <si>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</si>
  <si>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</si>
  <si>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</si>
  <si>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</si>
  <si>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</si>
  <si>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</si>
  <si>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</si>
  <si>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</si>
  <si>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</si>
  <si>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</si>
  <si>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</si>
  <si>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</si>
  <si>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</si>
  <si>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</si>
  <si>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</si>
  <si>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</si>
  <si>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</si>
  <si>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</si>
  <si>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</si>
  <si>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</si>
  <si>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</si>
  <si>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</si>
  <si>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</si>
  <si>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</si>
  <si>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</si>
  <si>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</si>
  <si>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</si>
  <si>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</si>
  <si>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</si>
  <si>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</si>
  <si>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</si>
  <si>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</si>
  <si>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</si>
  <si>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</si>
  <si>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</si>
  <si>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</si>
  <si>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</si>
  <si>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</si>
  <si>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</si>
  <si>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</si>
  <si>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</si>
  <si>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</si>
  <si>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</si>
  <si>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</si>
  <si>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</si>
  <si>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</si>
  <si>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</si>
  <si>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</si>
  <si>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</si>
  <si>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</si>
  <si>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</si>
  <si>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</si>
  <si>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</si>
  <si>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</si>
  <si>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</si>
  <si>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</si>
  <si>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</si>
  <si>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</si>
  <si>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</si>
  <si>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</si>
  <si>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</si>
  <si>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</si>
  <si>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</si>
  <si>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</si>
  <si>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</si>
  <si>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</si>
  <si>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</si>
  <si>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</si>
  <si>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</si>
  <si>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</si>
  <si>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</si>
  <si>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</si>
  <si>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</si>
  <si>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</si>
  <si>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</si>
  <si>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</si>
  <si>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</si>
  <si>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</si>
  <si>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</si>
  <si>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</si>
  <si>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</si>
  <si>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</si>
  <si>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</si>
  <si>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</si>
  <si>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</si>
  <si>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</si>
  <si>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</si>
  <si>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</si>
  <si>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</si>
  <si>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</si>
  <si>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</si>
  <si>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</si>
  <si>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</si>
  <si>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</si>
  <si>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</si>
  <si>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</si>
  <si>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</si>
  <si>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</si>
  <si>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</si>
  <si>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</si>
  <si>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</si>
  <si>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</si>
  <si>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</si>
  <si>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</si>
  <si>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</si>
  <si>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</si>
  <si>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</si>
  <si>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</si>
  <si>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</si>
  <si>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</si>
  <si>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</si>
  <si>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</si>
  <si>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</si>
  <si>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</si>
  <si>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</si>
  <si>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</si>
  <si>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</si>
  <si>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</si>
  <si>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</si>
  <si>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</si>
  <si>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</si>
  <si>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</si>
  <si>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</si>
  <si>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</si>
  <si>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</si>
  <si>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</si>
  <si>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</si>
  <si>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</si>
  <si>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Køretøjer, personbil</t>
  </si>
  <si>
    <t>Arbejdsplads</t>
  </si>
  <si>
    <t>Strømpeforing ≤ Ø 200 mm</t>
  </si>
  <si>
    <t>Ledningsnet ≤ Ø 200 mm</t>
  </si>
  <si>
    <t>Rådnetanke, slam, Konstruktioner</t>
  </si>
  <si>
    <t>Rådnetanke, slam, Mek/EL</t>
  </si>
  <si>
    <t>Rådnetanke, slam, SRO</t>
  </si>
  <si>
    <t>Gasdisponering - elproduktionsanlæg, Mek/EL</t>
  </si>
  <si>
    <t>Gasdisponering, Mek/EL</t>
  </si>
  <si>
    <t>Jordbassin Klasse B</t>
  </si>
  <si>
    <t>Indløb med riste, Konstruktioner</t>
  </si>
  <si>
    <t>Beluftningstanke, Mek/EL</t>
  </si>
  <si>
    <t>Beluftningstanke,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</si>
  <si>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</si>
  <si>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</si>
  <si>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</si>
  <si>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</si>
  <si>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</si>
  <si>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</si>
  <si>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</si>
  <si>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</si>
  <si>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</si>
  <si>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</si>
  <si>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</si>
  <si>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</si>
  <si>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</si>
  <si>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</si>
  <si>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</si>
  <si>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</si>
  <si>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</si>
  <si>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</si>
  <si>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</si>
  <si>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</si>
  <si>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</si>
  <si>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</si>
  <si>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</si>
  <si>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</si>
  <si>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</si>
  <si>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</si>
  <si>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Nye ikke-påvirkelige omkostninger og ændring af tidligere godkendte medfinansieringsprojekter</t>
  </si>
  <si>
    <t>Justering af medfinansieringsprojektet Ekstrem Regn AUH Skejby (godkendt i ØR17)</t>
  </si>
  <si>
    <t>Fane 13: Medfinansiering af klimatilpasningsprojekter efter gl. regulering</t>
  </si>
  <si>
    <t>Tildelte nye tillæg i den økonomiske ramme for 2017 til budgetterede omkostninger til medfinansiering af klimatilpasningsprojekter</t>
  </si>
  <si>
    <t>Tillæg i alt</t>
  </si>
  <si>
    <t>Fane 13</t>
  </si>
  <si>
    <t>Medfinansiering af klimatilpasningsprojekter efter gl. regulering</t>
  </si>
  <si>
    <t>Tillæg til medfinansiering af klimatilpasningsprojekter</t>
  </si>
  <si>
    <t>Brendstrupgrøften del 1 og del 2</t>
  </si>
  <si>
    <t>Ekstrem regn AUH Skejby</t>
  </si>
  <si>
    <t>Engangskorrektion for gennemført investering i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</si>
</sst>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36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0" fillId="2" borderId="0" xfId="0" applyFill="1"/>
    <xf numFmtId="0" fontId="8" fillId="10" borderId="1" xfId="0" applyFont="1" applyFill="1" applyBorder="1"/>
    <xf numFmtId="3" fontId="7" fillId="3" borderId="1" xfId="0" applyNumberFormat="1" applyFont="1" applyFill="1" applyBorder="1"/>
    <xf numFmtId="0" fontId="7" fillId="3" borderId="1" xfId="0" applyFont="1" applyFill="1" applyBorder="1"/>
    <xf numFmtId="0" fontId="9" fillId="2" borderId="0" xfId="0" applyFont="1" applyFill="1"/>
    <xf numFmtId="0" fontId="0" fillId="10" borderId="0" xfId="0" applyFill="1"/>
    <xf numFmtId="0" fontId="3" fillId="2" borderId="0" xfId="0" applyFont="1" applyFill="1" applyBorder="1" applyAlignment="1" applyProtection="1">
      <alignment vertical="center"/>
    </xf>
    <xf numFmtId="0" fontId="1" fillId="12" borderId="6" xfId="2" applyFont="1" applyFill="1" applyBorder="1" applyAlignment="1" applyProtection="1">
      <alignment horizontal="center" vertical="center" wrapText="1"/>
    </xf>
    <xf numFmtId="0" fontId="1" fillId="12" borderId="0" xfId="2" applyFont="1" applyFill="1" applyBorder="1" applyAlignment="1" applyProtection="1">
      <alignment horizontal="center" vertical="center" wrapText="1"/>
    </xf>
    <xf numFmtId="0" fontId="1" fillId="12" borderId="7" xfId="2" applyFont="1" applyFill="1" applyBorder="1" applyAlignment="1" applyProtection="1">
      <alignment horizontal="center" vertic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3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7" t="s">
        <v>5</v>
      </c>
      <c r="E6" s="77"/>
      <c r="F6" s="77"/>
      <c r="G6" s="77"/>
      <c r="H6" s="4"/>
      <c r="I6" s="2"/>
    </row>
    <row r="7" spans="1:9" ht="15" customHeight="1" x14ac:dyDescent="0.25">
      <c r="A7" s="2"/>
      <c r="B7" s="2"/>
      <c r="C7" s="4"/>
      <c r="D7" s="77"/>
      <c r="E7" s="77"/>
      <c r="F7" s="77"/>
      <c r="G7" s="77"/>
      <c r="H7" s="4"/>
      <c r="I7" s="2"/>
    </row>
    <row r="8" spans="1:9" ht="15.75" x14ac:dyDescent="0.25">
      <c r="A8" s="2"/>
      <c r="B8" s="2"/>
      <c r="C8" s="5"/>
      <c r="D8" s="82" t="s">
        <v>122</v>
      </c>
      <c r="E8" s="82"/>
      <c r="F8" s="82"/>
      <c r="G8" s="8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81" t="s">
        <v>6</v>
      </c>
      <c r="E11" s="81"/>
      <c r="F11" s="81"/>
      <c r="G11" s="8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74" t="s">
        <v>69</v>
      </c>
      <c r="E13" s="75"/>
      <c r="F13" s="75"/>
      <c r="G13" s="76"/>
      <c r="H13" s="2"/>
      <c r="I13" s="2"/>
    </row>
    <row r="14" spans="1:9" x14ac:dyDescent="0.25">
      <c r="A14" s="2"/>
      <c r="B14" s="2"/>
      <c r="C14" s="7" t="s">
        <v>68</v>
      </c>
      <c r="D14" s="74" t="s">
        <v>70</v>
      </c>
      <c r="E14" s="75"/>
      <c r="F14" s="75"/>
      <c r="G14" s="76"/>
      <c r="H14" s="2"/>
      <c r="I14" s="2"/>
    </row>
    <row r="15" spans="1:9" x14ac:dyDescent="0.25">
      <c r="A15" s="2"/>
      <c r="B15" s="2"/>
      <c r="C15" s="7" t="s">
        <v>8</v>
      </c>
      <c r="D15" s="83" t="s">
        <v>63</v>
      </c>
      <c r="E15" s="84"/>
      <c r="F15" s="84"/>
      <c r="G15" s="85"/>
      <c r="H15" s="2"/>
      <c r="I15" s="2"/>
    </row>
    <row r="16" spans="1:9" x14ac:dyDescent="0.25">
      <c r="A16" s="2"/>
      <c r="B16" s="2"/>
      <c r="C16" s="7" t="s">
        <v>9</v>
      </c>
      <c r="D16" s="83" t="s">
        <v>49</v>
      </c>
      <c r="E16" s="84"/>
      <c r="F16" s="84"/>
      <c r="G16" s="85"/>
      <c r="H16" s="2"/>
      <c r="I16" s="2"/>
    </row>
    <row r="17" spans="1:9" x14ac:dyDescent="0.25">
      <c r="A17" s="2"/>
      <c r="B17" s="2"/>
      <c r="C17" s="7" t="s">
        <v>10</v>
      </c>
      <c r="D17" s="86" t="s">
        <v>15</v>
      </c>
      <c r="E17" s="87"/>
      <c r="F17" s="87"/>
      <c r="G17" s="88"/>
      <c r="H17" s="2"/>
      <c r="I17" s="2"/>
    </row>
    <row r="18" spans="1:9" x14ac:dyDescent="0.25">
      <c r="A18" s="2"/>
      <c r="B18" s="2"/>
      <c r="C18" s="7" t="s">
        <v>11</v>
      </c>
      <c r="D18" s="86" t="s">
        <v>16</v>
      </c>
      <c r="E18" s="87"/>
      <c r="F18" s="87"/>
      <c r="G18" s="88"/>
      <c r="H18" s="2"/>
      <c r="I18" s="2"/>
    </row>
    <row r="19" spans="1:9" x14ac:dyDescent="0.25">
      <c r="A19" s="2"/>
      <c r="B19" s="2"/>
      <c r="C19" s="7" t="s">
        <v>12</v>
      </c>
      <c r="D19" s="89" t="s">
        <v>17</v>
      </c>
      <c r="E19" s="90"/>
      <c r="F19" s="90"/>
      <c r="G19" s="91"/>
      <c r="H19" s="2"/>
      <c r="I19" s="2"/>
    </row>
    <row r="20" spans="1:9" x14ac:dyDescent="0.25">
      <c r="A20" s="2"/>
      <c r="B20" s="2"/>
      <c r="C20" s="7" t="s">
        <v>13</v>
      </c>
      <c r="D20" s="78" t="s">
        <v>75</v>
      </c>
      <c r="E20" s="79"/>
      <c r="F20" s="79"/>
      <c r="G20" s="80"/>
      <c r="H20" s="2"/>
      <c r="I20" s="2"/>
    </row>
    <row r="21" spans="1:9" x14ac:dyDescent="0.25">
      <c r="A21" s="2"/>
      <c r="B21" s="2"/>
      <c r="C21" s="7" t="s">
        <v>14</v>
      </c>
      <c r="D21" s="78" t="s">
        <v>98</v>
      </c>
      <c r="E21" s="79"/>
      <c r="F21" s="79"/>
      <c r="G21" s="80"/>
      <c r="H21" s="2"/>
      <c r="I21" s="2"/>
    </row>
    <row r="22" spans="1:9" x14ac:dyDescent="0.25">
      <c r="A22" s="2"/>
      <c r="B22" s="2"/>
      <c r="C22" s="7" t="s">
        <v>59</v>
      </c>
      <c r="D22" s="68" t="s">
        <v>142</v>
      </c>
      <c r="E22" s="69"/>
      <c r="F22" s="69"/>
      <c r="G22" s="70"/>
      <c r="H22" s="2"/>
      <c r="I22" s="2"/>
    </row>
    <row r="23" spans="1:9" x14ac:dyDescent="0.25">
      <c r="A23" s="2"/>
      <c r="B23" s="2"/>
      <c r="C23" s="7" t="s">
        <v>66</v>
      </c>
      <c r="D23" s="71" t="s">
        <v>65</v>
      </c>
      <c r="E23" s="72"/>
      <c r="F23" s="72"/>
      <c r="G23" s="73"/>
      <c r="H23" s="2"/>
      <c r="I23" s="2"/>
    </row>
    <row r="24" spans="1:9" x14ac:dyDescent="0.25">
      <c r="A24" s="2"/>
      <c r="B24" s="2"/>
      <c r="C24" s="7" t="s">
        <v>67</v>
      </c>
      <c r="D24" s="71" t="s">
        <v>64</v>
      </c>
      <c r="E24" s="72"/>
      <c r="F24" s="72"/>
      <c r="G24" s="73"/>
      <c r="H24" s="2"/>
      <c r="I24" s="2"/>
    </row>
    <row r="25" spans="1:9" ht="34.5" customHeight="1" x14ac:dyDescent="0.25">
      <c r="A25" s="2"/>
      <c r="B25" s="2"/>
      <c r="C25" s="64" t="s">
        <v>190</v>
      </c>
      <c r="D25" s="65" t="s">
        <v>191</v>
      </c>
      <c r="E25" s="66"/>
      <c r="F25" s="66"/>
      <c r="G25" s="67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25:G25"/>
    <mergeCell ref="D22:G22"/>
    <mergeCell ref="D23:G23"/>
    <mergeCell ref="D24:G24"/>
    <mergeCell ref="D14:G14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Klima'!A1" display="Medfinansiering af klimatilpasningsprojekter efter gl. reguler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14" t="s">
        <v>77</v>
      </c>
      <c r="C3" s="114"/>
      <c r="D3" s="114"/>
      <c r="E3" s="114"/>
      <c r="F3" s="114"/>
      <c r="G3" s="114"/>
      <c r="H3" s="114"/>
      <c r="I3" s="2"/>
    </row>
    <row r="4" spans="1:9" ht="15" customHeight="1" x14ac:dyDescent="0.25">
      <c r="A4" s="2"/>
      <c r="B4" s="114"/>
      <c r="C4" s="114"/>
      <c r="D4" s="114"/>
      <c r="E4" s="114"/>
      <c r="F4" s="114"/>
      <c r="G4" s="114"/>
      <c r="H4" s="11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11" t="s">
        <v>175</v>
      </c>
      <c r="C8" s="112"/>
      <c r="D8" s="112"/>
      <c r="E8" s="112"/>
      <c r="F8" s="112"/>
      <c r="G8" s="112"/>
      <c r="H8" s="113"/>
      <c r="I8" s="2"/>
    </row>
    <row r="9" spans="1:9" x14ac:dyDescent="0.25">
      <c r="A9" s="2"/>
      <c r="B9" s="96" t="s">
        <v>78</v>
      </c>
      <c r="C9" s="97"/>
      <c r="D9" s="97"/>
      <c r="E9" s="97"/>
      <c r="F9" s="98"/>
      <c r="G9" s="27">
        <v>18964358</v>
      </c>
      <c r="H9" s="23" t="s">
        <v>4</v>
      </c>
      <c r="I9" s="2"/>
    </row>
    <row r="10" spans="1:9" x14ac:dyDescent="0.25">
      <c r="A10" s="2"/>
      <c r="B10" s="96" t="s">
        <v>79</v>
      </c>
      <c r="C10" s="97"/>
      <c r="D10" s="97"/>
      <c r="E10" s="97"/>
      <c r="F10" s="98"/>
      <c r="G10" s="27">
        <v>25149000</v>
      </c>
      <c r="H10" s="23" t="s">
        <v>4</v>
      </c>
      <c r="I10" s="2"/>
    </row>
    <row r="11" spans="1:9" x14ac:dyDescent="0.25">
      <c r="A11" s="2"/>
      <c r="B11" s="106" t="s">
        <v>176</v>
      </c>
      <c r="C11" s="107"/>
      <c r="D11" s="107"/>
      <c r="E11" s="107"/>
      <c r="F11" s="108"/>
      <c r="G11" s="21">
        <f>G9-G10</f>
        <v>-6184642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11" t="s">
        <v>177</v>
      </c>
      <c r="C14" s="112"/>
      <c r="D14" s="112"/>
      <c r="E14" s="112"/>
      <c r="F14" s="112"/>
      <c r="G14" s="112"/>
      <c r="H14" s="113"/>
      <c r="I14" s="2"/>
    </row>
    <row r="15" spans="1:9" x14ac:dyDescent="0.25">
      <c r="A15" s="2"/>
      <c r="B15" s="96" t="s">
        <v>80</v>
      </c>
      <c r="C15" s="97"/>
      <c r="D15" s="97"/>
      <c r="E15" s="97"/>
      <c r="F15" s="98"/>
      <c r="G15" s="27">
        <v>9029512</v>
      </c>
      <c r="H15" s="23" t="s">
        <v>4</v>
      </c>
      <c r="I15" s="2"/>
    </row>
    <row r="16" spans="1:9" x14ac:dyDescent="0.25">
      <c r="A16" s="2"/>
      <c r="B16" s="96" t="s">
        <v>81</v>
      </c>
      <c r="C16" s="97"/>
      <c r="D16" s="97"/>
      <c r="E16" s="97"/>
      <c r="F16" s="98"/>
      <c r="G16" s="27">
        <v>8500000</v>
      </c>
      <c r="H16" s="23" t="s">
        <v>4</v>
      </c>
      <c r="I16" s="2"/>
    </row>
    <row r="17" spans="1:9" x14ac:dyDescent="0.25">
      <c r="A17" s="2"/>
      <c r="B17" s="106" t="s">
        <v>177</v>
      </c>
      <c r="C17" s="107"/>
      <c r="D17" s="107"/>
      <c r="E17" s="107"/>
      <c r="F17" s="108"/>
      <c r="G17" s="21">
        <f>G15-G16</f>
        <v>529512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11" t="s">
        <v>178</v>
      </c>
      <c r="C20" s="112"/>
      <c r="D20" s="112"/>
      <c r="E20" s="112"/>
      <c r="F20" s="112"/>
      <c r="G20" s="112"/>
      <c r="H20" s="113"/>
      <c r="I20" s="2"/>
    </row>
    <row r="21" spans="1:9" x14ac:dyDescent="0.25">
      <c r="A21" s="2"/>
      <c r="B21" s="96" t="s">
        <v>82</v>
      </c>
      <c r="C21" s="97"/>
      <c r="D21" s="97"/>
      <c r="E21" s="97"/>
      <c r="F21" s="98"/>
      <c r="G21" s="27">
        <v>0</v>
      </c>
      <c r="H21" s="23" t="s">
        <v>4</v>
      </c>
      <c r="I21" s="2"/>
    </row>
    <row r="22" spans="1:9" x14ac:dyDescent="0.25">
      <c r="A22" s="2"/>
      <c r="B22" s="96" t="s">
        <v>83</v>
      </c>
      <c r="C22" s="97"/>
      <c r="D22" s="97"/>
      <c r="E22" s="97"/>
      <c r="F22" s="98"/>
      <c r="G22" s="27">
        <v>10000</v>
      </c>
      <c r="H22" s="23" t="s">
        <v>4</v>
      </c>
      <c r="I22" s="2"/>
    </row>
    <row r="23" spans="1:9" x14ac:dyDescent="0.25">
      <c r="A23" s="2"/>
      <c r="B23" s="106" t="s">
        <v>178</v>
      </c>
      <c r="C23" s="107"/>
      <c r="D23" s="107"/>
      <c r="E23" s="107"/>
      <c r="F23" s="108"/>
      <c r="G23" s="21">
        <f>G21-G22</f>
        <v>-10000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11" t="s">
        <v>179</v>
      </c>
      <c r="C26" s="112"/>
      <c r="D26" s="112"/>
      <c r="E26" s="112"/>
      <c r="F26" s="112"/>
      <c r="G26" s="112"/>
      <c r="H26" s="113"/>
      <c r="I26" s="2"/>
    </row>
    <row r="27" spans="1:9" ht="29.25" customHeight="1" x14ac:dyDescent="0.25">
      <c r="A27" s="2"/>
      <c r="B27" s="93" t="s">
        <v>84</v>
      </c>
      <c r="C27" s="94"/>
      <c r="D27" s="94"/>
      <c r="E27" s="94"/>
      <c r="F27" s="95"/>
      <c r="G27" s="27">
        <v>3171810</v>
      </c>
      <c r="H27" s="23" t="s">
        <v>4</v>
      </c>
      <c r="I27" s="2"/>
    </row>
    <row r="28" spans="1:9" x14ac:dyDescent="0.25">
      <c r="A28" s="2"/>
      <c r="B28" s="96" t="s">
        <v>85</v>
      </c>
      <c r="C28" s="97"/>
      <c r="D28" s="97"/>
      <c r="E28" s="97"/>
      <c r="F28" s="98"/>
      <c r="G28" s="27">
        <v>2959471</v>
      </c>
      <c r="H28" s="23" t="s">
        <v>4</v>
      </c>
      <c r="I28" s="2"/>
    </row>
    <row r="29" spans="1:9" ht="15" customHeight="1" x14ac:dyDescent="0.25">
      <c r="A29" s="2"/>
      <c r="B29" s="111" t="s">
        <v>179</v>
      </c>
      <c r="C29" s="112"/>
      <c r="D29" s="112"/>
      <c r="E29" s="112"/>
      <c r="F29" s="113"/>
      <c r="G29" s="21">
        <f>G27-G28</f>
        <v>212339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11" t="s">
        <v>86</v>
      </c>
      <c r="C32" s="112"/>
      <c r="D32" s="112"/>
      <c r="E32" s="112"/>
      <c r="F32" s="112"/>
      <c r="G32" s="112"/>
      <c r="H32" s="113"/>
      <c r="I32" s="2"/>
    </row>
    <row r="33" spans="1:9" x14ac:dyDescent="0.25">
      <c r="A33" s="2"/>
      <c r="B33" s="96" t="s">
        <v>87</v>
      </c>
      <c r="C33" s="97"/>
      <c r="D33" s="97"/>
      <c r="E33" s="97"/>
      <c r="F33" s="98"/>
      <c r="G33" s="12">
        <f>'Fane 8. Gen. inv. i 2016'!F23</f>
        <v>11124428.703333335</v>
      </c>
      <c r="H33" s="23" t="s">
        <v>4</v>
      </c>
      <c r="I33" s="2"/>
    </row>
    <row r="34" spans="1:9" x14ac:dyDescent="0.25">
      <c r="A34" s="2"/>
      <c r="B34" s="96" t="s">
        <v>88</v>
      </c>
      <c r="C34" s="97"/>
      <c r="D34" s="97"/>
      <c r="E34" s="97"/>
      <c r="F34" s="98"/>
      <c r="G34" s="27">
        <v>7570000</v>
      </c>
      <c r="H34" s="23" t="s">
        <v>4</v>
      </c>
      <c r="I34" s="2"/>
    </row>
    <row r="35" spans="1:9" x14ac:dyDescent="0.25">
      <c r="A35" s="2"/>
      <c r="B35" s="96" t="s">
        <v>195</v>
      </c>
      <c r="C35" s="97"/>
      <c r="D35" s="97"/>
      <c r="E35" s="97"/>
      <c r="F35" s="98"/>
      <c r="G35" s="27">
        <v>1291104</v>
      </c>
      <c r="H35" s="23" t="s">
        <v>4</v>
      </c>
      <c r="I35" s="2"/>
    </row>
    <row r="36" spans="1:9" x14ac:dyDescent="0.25">
      <c r="A36" s="2"/>
      <c r="B36" s="106" t="s">
        <v>86</v>
      </c>
      <c r="C36" s="107"/>
      <c r="D36" s="107"/>
      <c r="E36" s="107"/>
      <c r="F36" s="108"/>
      <c r="G36" s="21">
        <f>G33-G34+G35</f>
        <v>4845532.703333335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DFE9" sheet="1" objects="1" scenarios="1"/>
  <mergeCells count="22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6:F36"/>
    <mergeCell ref="B26:H26"/>
    <mergeCell ref="B29:F29"/>
    <mergeCell ref="B23:F23"/>
    <mergeCell ref="B32:H32"/>
    <mergeCell ref="B33:F33"/>
    <mergeCell ref="B27:F27"/>
    <mergeCell ref="B28:F28"/>
    <mergeCell ref="B35:F3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14" t="s">
        <v>89</v>
      </c>
      <c r="C3" s="114"/>
      <c r="D3" s="114"/>
      <c r="E3" s="114"/>
      <c r="F3" s="114"/>
      <c r="G3" s="114"/>
      <c r="H3" s="114"/>
      <c r="I3" s="2"/>
    </row>
    <row r="4" spans="1:9" ht="15" customHeight="1" x14ac:dyDescent="0.25">
      <c r="A4" s="2"/>
      <c r="B4" s="114"/>
      <c r="C4" s="114"/>
      <c r="D4" s="114"/>
      <c r="E4" s="114"/>
      <c r="F4" s="114"/>
      <c r="G4" s="114"/>
      <c r="H4" s="11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6" t="s">
        <v>90</v>
      </c>
      <c r="C8" s="107"/>
      <c r="D8" s="107"/>
      <c r="E8" s="107"/>
      <c r="F8" s="107"/>
      <c r="G8" s="107"/>
      <c r="H8" s="108"/>
      <c r="I8" s="2"/>
    </row>
    <row r="9" spans="1:9" x14ac:dyDescent="0.25">
      <c r="A9" s="2"/>
      <c r="B9" s="103" t="s">
        <v>91</v>
      </c>
      <c r="C9" s="104"/>
      <c r="D9" s="104"/>
      <c r="E9" s="104"/>
      <c r="F9" s="105"/>
      <c r="G9" s="26">
        <v>380674963.80667561</v>
      </c>
      <c r="H9" s="38" t="s">
        <v>4</v>
      </c>
      <c r="I9" s="2"/>
    </row>
    <row r="10" spans="1:9" x14ac:dyDescent="0.25">
      <c r="A10" s="2"/>
      <c r="B10" s="106" t="s">
        <v>92</v>
      </c>
      <c r="C10" s="107"/>
      <c r="D10" s="107"/>
      <c r="E10" s="107"/>
      <c r="F10" s="107"/>
      <c r="G10" s="107"/>
      <c r="H10" s="108"/>
      <c r="I10" s="2"/>
    </row>
    <row r="11" spans="1:9" x14ac:dyDescent="0.25">
      <c r="A11" s="2"/>
      <c r="B11" s="96" t="s">
        <v>19</v>
      </c>
      <c r="C11" s="97"/>
      <c r="D11" s="98"/>
      <c r="E11" s="27">
        <v>169315390</v>
      </c>
      <c r="F11" s="23" t="s">
        <v>4</v>
      </c>
      <c r="G11" s="20"/>
      <c r="H11" s="42"/>
      <c r="I11" s="2"/>
    </row>
    <row r="12" spans="1:9" x14ac:dyDescent="0.25">
      <c r="A12" s="2"/>
      <c r="B12" s="96" t="s">
        <v>93</v>
      </c>
      <c r="C12" s="97"/>
      <c r="D12" s="98"/>
      <c r="E12" s="27">
        <v>27337049</v>
      </c>
      <c r="F12" s="23" t="s">
        <v>4</v>
      </c>
      <c r="G12" s="15"/>
      <c r="H12" s="43"/>
      <c r="I12" s="2"/>
    </row>
    <row r="13" spans="1:9" x14ac:dyDescent="0.25">
      <c r="A13" s="2"/>
      <c r="B13" s="96" t="s">
        <v>94</v>
      </c>
      <c r="C13" s="97"/>
      <c r="D13" s="98"/>
      <c r="E13" s="27">
        <v>-1038497</v>
      </c>
      <c r="F13" s="23" t="s">
        <v>4</v>
      </c>
      <c r="G13" s="15"/>
      <c r="H13" s="43"/>
      <c r="I13" s="2"/>
    </row>
    <row r="14" spans="1:9" x14ac:dyDescent="0.25">
      <c r="A14" s="2"/>
      <c r="B14" s="96" t="s">
        <v>95</v>
      </c>
      <c r="C14" s="97"/>
      <c r="D14" s="98"/>
      <c r="E14" s="27">
        <v>14778000</v>
      </c>
      <c r="F14" s="23" t="s">
        <v>4</v>
      </c>
      <c r="G14" s="15"/>
      <c r="H14" s="43"/>
      <c r="I14" s="2"/>
    </row>
    <row r="15" spans="1:9" x14ac:dyDescent="0.25">
      <c r="A15" s="2"/>
      <c r="B15" s="103" t="s">
        <v>20</v>
      </c>
      <c r="C15" s="104"/>
      <c r="D15" s="105"/>
      <c r="E15" s="18">
        <f>SUM(E11:E14)</f>
        <v>210391942</v>
      </c>
      <c r="F15" s="38" t="s">
        <v>4</v>
      </c>
      <c r="G15" s="15"/>
      <c r="H15" s="43"/>
      <c r="I15" s="2"/>
    </row>
    <row r="16" spans="1:9" x14ac:dyDescent="0.25">
      <c r="A16" s="2"/>
      <c r="B16" s="96" t="s">
        <v>21</v>
      </c>
      <c r="C16" s="97"/>
      <c r="D16" s="98"/>
      <c r="E16" s="27">
        <v>28404980</v>
      </c>
      <c r="F16" s="23" t="s">
        <v>4</v>
      </c>
      <c r="G16" s="15"/>
      <c r="H16" s="43"/>
      <c r="I16" s="2"/>
    </row>
    <row r="17" spans="1:9" x14ac:dyDescent="0.25">
      <c r="A17" s="2"/>
      <c r="B17" s="96" t="s">
        <v>22</v>
      </c>
      <c r="C17" s="97"/>
      <c r="D17" s="98"/>
      <c r="E17" s="27">
        <v>24530961</v>
      </c>
      <c r="F17" s="23" t="s">
        <v>4</v>
      </c>
      <c r="G17" s="15"/>
      <c r="H17" s="43"/>
      <c r="I17" s="2"/>
    </row>
    <row r="18" spans="1:9" x14ac:dyDescent="0.25">
      <c r="A18" s="2"/>
      <c r="B18" s="96" t="s">
        <v>23</v>
      </c>
      <c r="C18" s="97"/>
      <c r="D18" s="9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3" t="s">
        <v>24</v>
      </c>
      <c r="C19" s="104"/>
      <c r="D19" s="105"/>
      <c r="E19" s="18">
        <f>SUM(E16:E18)</f>
        <v>52935941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3" t="s">
        <v>25</v>
      </c>
      <c r="C20" s="94"/>
      <c r="D20" s="95"/>
      <c r="E20" s="27">
        <v>-20281961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3" t="s">
        <v>26</v>
      </c>
      <c r="C21" s="94"/>
      <c r="D21" s="95"/>
      <c r="E21" s="27">
        <v>-400591059</v>
      </c>
      <c r="F21" s="23" t="s">
        <v>4</v>
      </c>
      <c r="G21" s="15"/>
      <c r="H21" s="43"/>
      <c r="I21" s="2"/>
    </row>
    <row r="22" spans="1:9" x14ac:dyDescent="0.25">
      <c r="A22" s="2"/>
      <c r="B22" s="96" t="s">
        <v>27</v>
      </c>
      <c r="C22" s="97"/>
      <c r="D22" s="98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6" t="s">
        <v>28</v>
      </c>
      <c r="C23" s="97"/>
      <c r="D23" s="9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3" t="s">
        <v>29</v>
      </c>
      <c r="C24" s="94"/>
      <c r="D24" s="9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3" t="s">
        <v>30</v>
      </c>
      <c r="C25" s="94"/>
      <c r="D25" s="9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3" t="s">
        <v>31</v>
      </c>
      <c r="C26" s="94"/>
      <c r="D26" s="95"/>
      <c r="E26" s="27">
        <v>-132452</v>
      </c>
      <c r="F26" s="23" t="s">
        <v>4</v>
      </c>
      <c r="G26" s="15"/>
      <c r="H26" s="43"/>
      <c r="I26" s="2"/>
    </row>
    <row r="27" spans="1:9" x14ac:dyDescent="0.25">
      <c r="A27" s="2"/>
      <c r="B27" s="103" t="s">
        <v>32</v>
      </c>
      <c r="C27" s="104"/>
      <c r="D27" s="105"/>
      <c r="E27" s="18">
        <f>SUM(E20:E26)</f>
        <v>-421005472</v>
      </c>
      <c r="F27" s="38" t="s">
        <v>4</v>
      </c>
      <c r="G27" s="16"/>
      <c r="H27" s="44"/>
      <c r="I27" s="2"/>
    </row>
    <row r="28" spans="1:9" x14ac:dyDescent="0.25">
      <c r="A28" s="2"/>
      <c r="B28" s="103" t="s">
        <v>33</v>
      </c>
      <c r="C28" s="104"/>
      <c r="D28" s="105"/>
      <c r="E28" s="18">
        <f>E15+E19+E27</f>
        <v>-157677589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106" t="s">
        <v>96</v>
      </c>
      <c r="C29" s="107"/>
      <c r="D29" s="107"/>
      <c r="E29" s="107"/>
      <c r="F29" s="107"/>
      <c r="G29" s="107"/>
      <c r="H29" s="108"/>
      <c r="I29" s="2"/>
    </row>
    <row r="30" spans="1:9" x14ac:dyDescent="0.25">
      <c r="A30" s="2"/>
      <c r="B30" s="103" t="s">
        <v>96</v>
      </c>
      <c r="C30" s="104"/>
      <c r="D30" s="10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25" t="s">
        <v>57</v>
      </c>
      <c r="C31" s="107"/>
      <c r="D31" s="107"/>
      <c r="E31" s="107"/>
      <c r="F31" s="107"/>
      <c r="G31" s="107"/>
      <c r="H31" s="108"/>
      <c r="I31" s="2"/>
    </row>
    <row r="32" spans="1:9" ht="30" customHeight="1" x14ac:dyDescent="0.25">
      <c r="A32" s="2"/>
      <c r="B32" s="93" t="s">
        <v>58</v>
      </c>
      <c r="C32" s="94"/>
      <c r="D32" s="95"/>
      <c r="E32" s="27">
        <v>369979732</v>
      </c>
      <c r="F32" s="23" t="s">
        <v>4</v>
      </c>
      <c r="G32" s="20"/>
      <c r="H32" s="42"/>
      <c r="I32" s="2"/>
    </row>
    <row r="33" spans="1:9" x14ac:dyDescent="0.25">
      <c r="A33" s="2"/>
      <c r="B33" s="96" t="s">
        <v>34</v>
      </c>
      <c r="C33" s="97"/>
      <c r="D33" s="9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3" t="s">
        <v>35</v>
      </c>
      <c r="C34" s="94"/>
      <c r="D34" s="95"/>
      <c r="E34" s="27">
        <v>13332380</v>
      </c>
      <c r="F34" s="23" t="s">
        <v>4</v>
      </c>
      <c r="G34" s="16"/>
      <c r="H34" s="44"/>
      <c r="I34" s="2"/>
    </row>
    <row r="35" spans="1:9" x14ac:dyDescent="0.25">
      <c r="A35" s="2"/>
      <c r="B35" s="103" t="s">
        <v>36</v>
      </c>
      <c r="C35" s="104"/>
      <c r="D35" s="105"/>
      <c r="E35" s="18">
        <f>SUM(E32:E34)</f>
        <v>383312112</v>
      </c>
      <c r="F35" s="38" t="s">
        <v>4</v>
      </c>
      <c r="G35" s="18">
        <f>-E35</f>
        <v>-383312112</v>
      </c>
      <c r="H35" s="38" t="s">
        <v>4</v>
      </c>
      <c r="I35" s="2"/>
    </row>
    <row r="36" spans="1:9" x14ac:dyDescent="0.25">
      <c r="A36" s="2"/>
      <c r="B36" s="106" t="s">
        <v>97</v>
      </c>
      <c r="C36" s="107"/>
      <c r="D36" s="107"/>
      <c r="E36" s="107"/>
      <c r="F36" s="108"/>
      <c r="G36" s="21">
        <f>$G$9+$G$28+$G$30+$G$35</f>
        <v>-2637148.1933243871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2" t="s">
        <v>126</v>
      </c>
      <c r="C3" s="92"/>
      <c r="D3" s="92"/>
      <c r="E3" s="92"/>
      <c r="F3" s="92"/>
      <c r="G3" s="92"/>
      <c r="H3" s="2"/>
    </row>
    <row r="4" spans="1:8" ht="15" customHeight="1" x14ac:dyDescent="0.25">
      <c r="A4" s="2"/>
      <c r="B4" s="92"/>
      <c r="C4" s="92"/>
      <c r="D4" s="92"/>
      <c r="E4" s="92"/>
      <c r="F4" s="92"/>
      <c r="G4" s="9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06" t="s">
        <v>172</v>
      </c>
      <c r="C8" s="107"/>
      <c r="D8" s="107"/>
      <c r="E8" s="107"/>
      <c r="F8" s="107"/>
      <c r="G8" s="108"/>
      <c r="H8" s="2"/>
    </row>
    <row r="9" spans="1:8" ht="29.25" customHeight="1" x14ac:dyDescent="0.25">
      <c r="A9" s="2"/>
      <c r="B9" s="99" t="s">
        <v>116</v>
      </c>
      <c r="C9" s="101"/>
      <c r="D9" s="124" t="s">
        <v>47</v>
      </c>
      <c r="E9" s="124"/>
      <c r="F9" s="124" t="s">
        <v>127</v>
      </c>
      <c r="G9" s="124"/>
      <c r="H9" s="2"/>
    </row>
    <row r="10" spans="1:8" x14ac:dyDescent="0.25">
      <c r="A10" s="2"/>
      <c r="B10" s="126" t="s">
        <v>173</v>
      </c>
      <c r="C10" s="127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106" t="s">
        <v>133</v>
      </c>
      <c r="C11" s="10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106" t="s">
        <v>145</v>
      </c>
      <c r="C12" s="10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106" t="s">
        <v>185</v>
      </c>
      <c r="C15" s="107"/>
      <c r="D15" s="107"/>
      <c r="E15" s="107"/>
      <c r="F15" s="107"/>
      <c r="G15" s="108"/>
      <c r="H15" s="2"/>
    </row>
    <row r="16" spans="1:8" ht="15" customHeight="1" x14ac:dyDescent="0.25">
      <c r="A16" s="2"/>
      <c r="B16" s="99" t="s">
        <v>184</v>
      </c>
      <c r="C16" s="100"/>
      <c r="D16" s="100"/>
      <c r="E16" s="101"/>
      <c r="F16" s="124" t="s">
        <v>169</v>
      </c>
      <c r="G16" s="124"/>
      <c r="H16" s="2"/>
    </row>
    <row r="17" spans="1:8" ht="30" customHeight="1" x14ac:dyDescent="0.25">
      <c r="A17" s="2"/>
      <c r="B17" s="93" t="s">
        <v>186</v>
      </c>
      <c r="C17" s="94"/>
      <c r="D17" s="94"/>
      <c r="E17" s="95"/>
      <c r="F17" s="27">
        <v>-32235</v>
      </c>
      <c r="G17" s="23" t="s">
        <v>4</v>
      </c>
      <c r="H17" s="2"/>
    </row>
    <row r="18" spans="1:8" x14ac:dyDescent="0.25">
      <c r="A18" s="2"/>
      <c r="B18" s="106" t="s">
        <v>170</v>
      </c>
      <c r="C18" s="107"/>
      <c r="D18" s="107"/>
      <c r="E18" s="108"/>
      <c r="F18" s="21">
        <f>SUM(F17:F17)</f>
        <v>-32235</v>
      </c>
      <c r="G18" s="22" t="s">
        <v>4</v>
      </c>
      <c r="H18" s="2"/>
    </row>
    <row r="19" spans="1:8" x14ac:dyDescent="0.25">
      <c r="A19" s="2"/>
      <c r="B19" s="106" t="s">
        <v>171</v>
      </c>
      <c r="C19" s="107"/>
      <c r="D19" s="107"/>
      <c r="E19" s="108"/>
      <c r="F19" s="21">
        <f>F18*(1+'Fane 2.1. Økonomisk ramme 2018'!E18/100)</f>
        <v>-32799.112500000003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14" t="s">
        <v>118</v>
      </c>
      <c r="C3" s="114"/>
      <c r="D3" s="114"/>
      <c r="E3" s="114"/>
      <c r="F3" s="114"/>
      <c r="G3" s="114"/>
      <c r="H3" s="2"/>
    </row>
    <row r="4" spans="1:8" ht="25.5" customHeight="1" x14ac:dyDescent="0.25">
      <c r="A4" s="2"/>
      <c r="B4" s="114"/>
      <c r="C4" s="114"/>
      <c r="D4" s="114"/>
      <c r="E4" s="114"/>
      <c r="F4" s="114"/>
      <c r="G4" s="11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06" t="s">
        <v>117</v>
      </c>
      <c r="C8" s="107"/>
      <c r="D8" s="107"/>
      <c r="E8" s="107"/>
      <c r="F8" s="107"/>
      <c r="G8" s="108"/>
      <c r="H8" s="2"/>
    </row>
    <row r="9" spans="1:8" ht="29.25" customHeight="1" x14ac:dyDescent="0.25">
      <c r="A9" s="2"/>
      <c r="B9" s="45" t="s">
        <v>119</v>
      </c>
      <c r="C9" s="46"/>
      <c r="D9" s="124" t="s">
        <v>47</v>
      </c>
      <c r="E9" s="124"/>
      <c r="F9" s="124" t="s">
        <v>127</v>
      </c>
      <c r="G9" s="124"/>
      <c r="H9" s="2"/>
    </row>
    <row r="10" spans="1:8" x14ac:dyDescent="0.25">
      <c r="A10" s="2"/>
      <c r="B10" s="35" t="s">
        <v>180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106" t="s">
        <v>128</v>
      </c>
      <c r="C11" s="10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106" t="s">
        <v>144</v>
      </c>
      <c r="C12" s="10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5" max="5" width="14.42578125" customWidth="1"/>
    <col min="6" max="6" width="14.85546875" customWidth="1"/>
    <col min="7" max="7" width="9" customWidth="1"/>
    <col min="8" max="8" width="3.28515625" customWidth="1"/>
    <col min="9" max="9" width="9.28515625" customWidth="1"/>
  </cols>
  <sheetData>
    <row r="1" spans="1:9" x14ac:dyDescent="0.25">
      <c r="A1" s="58"/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x14ac:dyDescent="0.25">
      <c r="A3" s="58"/>
      <c r="B3" s="128" t="s">
        <v>187</v>
      </c>
      <c r="C3" s="128"/>
      <c r="D3" s="128"/>
      <c r="E3" s="128"/>
      <c r="F3" s="128"/>
      <c r="G3" s="128"/>
      <c r="H3" s="128"/>
      <c r="I3" s="58"/>
    </row>
    <row r="4" spans="1:9" ht="25.5" customHeight="1" x14ac:dyDescent="0.25">
      <c r="A4" s="58"/>
      <c r="B4" s="128"/>
      <c r="C4" s="128"/>
      <c r="D4" s="128"/>
      <c r="E4" s="128"/>
      <c r="F4" s="128"/>
      <c r="G4" s="128"/>
      <c r="H4" s="128"/>
      <c r="I4" s="58"/>
    </row>
    <row r="5" spans="1:9" x14ac:dyDescent="0.25">
      <c r="A5" s="58"/>
      <c r="B5" s="58"/>
      <c r="C5" s="58"/>
      <c r="D5" s="58"/>
      <c r="E5" s="58"/>
      <c r="F5" s="58"/>
      <c r="G5" s="58"/>
      <c r="H5" s="58"/>
      <c r="I5" s="58"/>
    </row>
    <row r="6" spans="1:9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27" customHeight="1" x14ac:dyDescent="0.25">
      <c r="A8" s="58"/>
      <c r="B8" s="129" t="s">
        <v>188</v>
      </c>
      <c r="C8" s="130"/>
      <c r="D8" s="130"/>
      <c r="E8" s="130"/>
      <c r="F8" s="130"/>
      <c r="G8" s="130"/>
      <c r="H8" s="131"/>
      <c r="I8" s="58"/>
    </row>
    <row r="9" spans="1:9" x14ac:dyDescent="0.25">
      <c r="A9" s="58"/>
      <c r="B9" s="115" t="s">
        <v>193</v>
      </c>
      <c r="C9" s="116"/>
      <c r="D9" s="116"/>
      <c r="E9" s="116"/>
      <c r="F9" s="132"/>
      <c r="G9" s="27">
        <v>1265704</v>
      </c>
      <c r="H9" s="59" t="s">
        <v>4</v>
      </c>
      <c r="I9" s="58"/>
    </row>
    <row r="10" spans="1:9" x14ac:dyDescent="0.25">
      <c r="A10" s="58"/>
      <c r="B10" s="115" t="s">
        <v>194</v>
      </c>
      <c r="C10" s="116"/>
      <c r="D10" s="116"/>
      <c r="E10" s="116"/>
      <c r="F10" s="132"/>
      <c r="G10" s="27">
        <v>1500</v>
      </c>
      <c r="H10" s="59" t="s">
        <v>4</v>
      </c>
      <c r="I10" s="58"/>
    </row>
    <row r="11" spans="1:9" x14ac:dyDescent="0.25">
      <c r="A11" s="58"/>
      <c r="B11" s="133" t="s">
        <v>189</v>
      </c>
      <c r="C11" s="134"/>
      <c r="D11" s="134"/>
      <c r="E11" s="134"/>
      <c r="F11" s="135"/>
      <c r="G11" s="60">
        <f>SUM(G9:G10)</f>
        <v>1267204</v>
      </c>
      <c r="H11" s="61" t="s">
        <v>4</v>
      </c>
      <c r="I11" s="58"/>
    </row>
    <row r="12" spans="1:9" x14ac:dyDescent="0.25">
      <c r="A12" s="58"/>
      <c r="B12" s="62"/>
      <c r="C12" s="62"/>
      <c r="D12" s="62"/>
      <c r="E12" s="62"/>
      <c r="F12" s="62"/>
      <c r="G12" s="62"/>
      <c r="H12" s="62"/>
      <c r="I12" s="58"/>
    </row>
    <row r="13" spans="1:9" x14ac:dyDescent="0.25">
      <c r="A13" s="58"/>
      <c r="B13" s="62"/>
      <c r="C13" s="62"/>
      <c r="D13" s="62"/>
      <c r="E13" s="62"/>
      <c r="F13" s="62"/>
      <c r="G13" s="62"/>
      <c r="H13" s="62"/>
      <c r="I13" s="58"/>
    </row>
    <row r="14" spans="1:9" x14ac:dyDescent="0.25">
      <c r="A14" s="58"/>
      <c r="B14" s="58"/>
      <c r="C14" s="58"/>
      <c r="D14" s="58"/>
      <c r="E14" s="58"/>
      <c r="F14" s="58"/>
      <c r="G14" s="58"/>
      <c r="H14" s="58"/>
      <c r="I14" s="58"/>
    </row>
    <row r="15" spans="1:9" x14ac:dyDescent="0.25">
      <c r="A15" s="58"/>
      <c r="B15" s="58"/>
      <c r="C15" s="58"/>
      <c r="D15" s="58"/>
      <c r="E15" s="58"/>
      <c r="F15" s="58"/>
      <c r="G15" s="58"/>
      <c r="H15" s="58"/>
      <c r="I15" s="58"/>
    </row>
    <row r="16" spans="1:9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9" x14ac:dyDescent="0.25">
      <c r="A17" s="63"/>
      <c r="B17" s="63"/>
      <c r="C17" s="63"/>
      <c r="D17" s="63"/>
      <c r="E17" s="63"/>
      <c r="F17" s="63"/>
      <c r="G17" s="63"/>
      <c r="H17" s="63"/>
      <c r="I17" s="63"/>
    </row>
    <row r="18" spans="1:9" x14ac:dyDescent="0.25">
      <c r="A18" s="63"/>
      <c r="B18" s="63"/>
      <c r="C18" s="63"/>
      <c r="D18" s="63"/>
      <c r="E18" s="63"/>
      <c r="F18" s="63"/>
      <c r="G18" s="63"/>
      <c r="H18" s="63"/>
      <c r="I18" s="63"/>
    </row>
    <row r="19" spans="1:9" x14ac:dyDescent="0.25">
      <c r="A19" s="63"/>
      <c r="B19" s="63"/>
      <c r="C19" s="63"/>
      <c r="D19" s="63"/>
      <c r="E19" s="63"/>
      <c r="F19" s="63"/>
      <c r="G19" s="63"/>
      <c r="H19" s="63"/>
      <c r="I19" s="63"/>
    </row>
    <row r="20" spans="1:9" x14ac:dyDescent="0.25">
      <c r="A20" s="63"/>
      <c r="B20" s="63"/>
      <c r="C20" s="63"/>
      <c r="D20" s="63"/>
      <c r="E20" s="63"/>
      <c r="F20" s="63"/>
      <c r="G20" s="63"/>
      <c r="H20" s="63"/>
      <c r="I20" s="63"/>
    </row>
    <row r="21" spans="1:9" x14ac:dyDescent="0.25">
      <c r="A21" s="63"/>
      <c r="B21" s="63"/>
      <c r="C21" s="63"/>
      <c r="D21" s="63"/>
      <c r="E21" s="63"/>
      <c r="F21" s="63"/>
      <c r="G21" s="63"/>
      <c r="H21" s="63"/>
      <c r="I21" s="63"/>
    </row>
    <row r="22" spans="1:9" x14ac:dyDescent="0.25">
      <c r="A22" s="63"/>
      <c r="B22" s="63"/>
      <c r="C22" s="63"/>
      <c r="D22" s="63"/>
      <c r="E22" s="63"/>
      <c r="F22" s="63"/>
      <c r="G22" s="63"/>
      <c r="H22" s="63"/>
      <c r="I22" s="63"/>
    </row>
    <row r="23" spans="1:9" x14ac:dyDescent="0.25">
      <c r="A23" s="63"/>
      <c r="B23" s="63"/>
      <c r="C23" s="63"/>
      <c r="D23" s="63"/>
      <c r="E23" s="63"/>
      <c r="F23" s="63"/>
      <c r="G23" s="63"/>
      <c r="H23" s="63"/>
      <c r="I23" s="63"/>
    </row>
    <row r="24" spans="1:9" x14ac:dyDescent="0.25">
      <c r="A24" s="63"/>
      <c r="B24" s="63"/>
      <c r="C24" s="63"/>
      <c r="D24" s="63"/>
      <c r="E24" s="63"/>
      <c r="F24" s="63"/>
      <c r="G24" s="63"/>
      <c r="H24" s="63"/>
      <c r="I24" s="63"/>
    </row>
    <row r="25" spans="1:9" x14ac:dyDescent="0.25">
      <c r="A25" s="63"/>
      <c r="B25" s="63"/>
      <c r="C25" s="63"/>
      <c r="D25" s="63"/>
      <c r="E25" s="63"/>
      <c r="F25" s="63"/>
      <c r="G25" s="63"/>
      <c r="H25" s="63"/>
      <c r="I25" s="63"/>
    </row>
    <row r="26" spans="1:9" x14ac:dyDescent="0.25">
      <c r="A26" s="63"/>
      <c r="B26" s="63"/>
      <c r="C26" s="63"/>
      <c r="D26" s="63"/>
      <c r="E26" s="63"/>
      <c r="F26" s="63"/>
      <c r="G26" s="63"/>
      <c r="H26" s="63"/>
      <c r="I26" s="63"/>
    </row>
    <row r="27" spans="1:9" x14ac:dyDescent="0.25">
      <c r="A27" s="63"/>
      <c r="B27" s="63"/>
      <c r="C27" s="63"/>
      <c r="D27" s="63"/>
      <c r="E27" s="63"/>
      <c r="F27" s="63"/>
      <c r="G27" s="63"/>
      <c r="H27" s="63"/>
      <c r="I27" s="63"/>
    </row>
    <row r="28" spans="1:9" x14ac:dyDescent="0.25">
      <c r="A28" s="63"/>
      <c r="B28" s="63"/>
      <c r="C28" s="63"/>
      <c r="D28" s="63"/>
      <c r="E28" s="63"/>
      <c r="F28" s="63"/>
      <c r="G28" s="63"/>
      <c r="H28" s="63"/>
      <c r="I28" s="63"/>
    </row>
    <row r="29" spans="1:9" x14ac:dyDescent="0.25">
      <c r="A29" s="63"/>
      <c r="B29" s="63"/>
      <c r="C29" s="63"/>
      <c r="D29" s="63"/>
      <c r="E29" s="63"/>
      <c r="F29" s="63"/>
      <c r="G29" s="63"/>
      <c r="H29" s="63"/>
      <c r="I29" s="63"/>
    </row>
    <row r="30" spans="1:9" x14ac:dyDescent="0.25">
      <c r="A30" s="63"/>
      <c r="B30" s="63"/>
      <c r="C30" s="63"/>
      <c r="D30" s="63"/>
      <c r="E30" s="63"/>
      <c r="F30" s="63"/>
      <c r="G30" s="63"/>
      <c r="H30" s="63"/>
      <c r="I30" s="63"/>
    </row>
    <row r="31" spans="1:9" x14ac:dyDescent="0.25">
      <c r="A31" s="63"/>
      <c r="B31" s="63"/>
      <c r="C31" s="63"/>
      <c r="D31" s="63"/>
      <c r="E31" s="63"/>
      <c r="F31" s="63"/>
      <c r="G31" s="63"/>
      <c r="H31" s="63"/>
      <c r="I31" s="63"/>
    </row>
    <row r="32" spans="1:9" x14ac:dyDescent="0.25">
      <c r="A32" s="63"/>
      <c r="B32" s="63"/>
      <c r="C32" s="63"/>
      <c r="D32" s="63"/>
      <c r="E32" s="63"/>
      <c r="F32" s="63"/>
      <c r="G32" s="63"/>
      <c r="H32" s="63"/>
      <c r="I32" s="63"/>
    </row>
    <row r="33" spans="1:9" x14ac:dyDescent="0.25">
      <c r="A33" s="63"/>
      <c r="B33" s="63"/>
      <c r="C33" s="63"/>
      <c r="D33" s="63"/>
      <c r="E33" s="63"/>
      <c r="F33" s="63"/>
      <c r="G33" s="63"/>
      <c r="H33" s="63"/>
      <c r="I33" s="63"/>
    </row>
    <row r="34" spans="1:9" x14ac:dyDescent="0.25">
      <c r="A34" s="63"/>
      <c r="B34" s="63"/>
      <c r="C34" s="63"/>
      <c r="D34" s="63"/>
      <c r="E34" s="63"/>
      <c r="F34" s="63"/>
      <c r="G34" s="63"/>
      <c r="H34" s="63"/>
      <c r="I34" s="63"/>
    </row>
    <row r="35" spans="1:9" x14ac:dyDescent="0.25">
      <c r="A35" s="63"/>
      <c r="B35" s="63"/>
      <c r="C35" s="63"/>
      <c r="D35" s="63"/>
      <c r="E35" s="63"/>
      <c r="F35" s="63"/>
      <c r="G35" s="63"/>
      <c r="H35" s="63"/>
      <c r="I35" s="63"/>
    </row>
    <row r="36" spans="1:9" x14ac:dyDescent="0.25">
      <c r="A36" s="63"/>
      <c r="B36" s="63"/>
      <c r="C36" s="63"/>
      <c r="D36" s="63"/>
      <c r="E36" s="63"/>
      <c r="F36" s="63"/>
      <c r="G36" s="63"/>
      <c r="H36" s="63"/>
      <c r="I36" s="63"/>
    </row>
    <row r="37" spans="1:9" x14ac:dyDescent="0.25">
      <c r="A37" s="63"/>
      <c r="B37" s="63"/>
      <c r="C37" s="63"/>
      <c r="D37" s="63"/>
      <c r="E37" s="63"/>
      <c r="F37" s="63"/>
      <c r="G37" s="63"/>
      <c r="H37" s="63"/>
      <c r="I37" s="63"/>
    </row>
    <row r="38" spans="1:9" x14ac:dyDescent="0.25">
      <c r="A38" s="63"/>
      <c r="B38" s="63"/>
      <c r="C38" s="63"/>
      <c r="D38" s="63"/>
      <c r="E38" s="63"/>
      <c r="F38" s="63"/>
      <c r="G38" s="63"/>
      <c r="H38" s="63"/>
      <c r="I38" s="63"/>
    </row>
    <row r="39" spans="1:9" x14ac:dyDescent="0.25">
      <c r="A39" s="63"/>
      <c r="B39" s="63"/>
      <c r="C39" s="63"/>
      <c r="D39" s="63"/>
      <c r="E39" s="63"/>
      <c r="F39" s="63"/>
      <c r="G39" s="63"/>
      <c r="H39" s="63"/>
      <c r="I39" s="63"/>
    </row>
    <row r="40" spans="1:9" x14ac:dyDescent="0.25">
      <c r="A40" s="63"/>
      <c r="B40" s="63"/>
      <c r="C40" s="63"/>
      <c r="D40" s="63"/>
      <c r="E40" s="63"/>
      <c r="F40" s="63"/>
      <c r="G40" s="63"/>
      <c r="H40" s="63"/>
      <c r="I40" s="63"/>
    </row>
    <row r="41" spans="1:9" x14ac:dyDescent="0.25">
      <c r="A41" s="63"/>
      <c r="B41" s="63"/>
      <c r="C41" s="63"/>
      <c r="D41" s="63"/>
      <c r="E41" s="63"/>
      <c r="F41" s="63"/>
      <c r="G41" s="63"/>
      <c r="H41" s="63"/>
      <c r="I41" s="63"/>
    </row>
    <row r="42" spans="1:9" x14ac:dyDescent="0.25">
      <c r="A42" s="63"/>
      <c r="B42" s="63"/>
      <c r="C42" s="63"/>
      <c r="D42" s="63"/>
      <c r="E42" s="63"/>
      <c r="F42" s="63"/>
      <c r="G42" s="63"/>
      <c r="H42" s="63"/>
      <c r="I42" s="63"/>
    </row>
    <row r="43" spans="1:9" x14ac:dyDescent="0.25">
      <c r="A43" s="63"/>
      <c r="B43" s="63"/>
      <c r="C43" s="63"/>
      <c r="D43" s="63"/>
      <c r="E43" s="63"/>
      <c r="F43" s="63"/>
      <c r="G43" s="63"/>
      <c r="H43" s="63"/>
      <c r="I43" s="63"/>
    </row>
    <row r="44" spans="1:9" x14ac:dyDescent="0.25">
      <c r="A44" s="63"/>
      <c r="B44" s="63"/>
      <c r="C44" s="63"/>
      <c r="D44" s="63"/>
      <c r="E44" s="63"/>
      <c r="F44" s="63"/>
      <c r="G44" s="63"/>
      <c r="H44" s="63"/>
      <c r="I44" s="63"/>
    </row>
    <row r="45" spans="1:9" x14ac:dyDescent="0.25">
      <c r="A45" s="63"/>
      <c r="B45" s="63"/>
      <c r="C45" s="63"/>
      <c r="D45" s="63"/>
      <c r="E45" s="63"/>
      <c r="F45" s="63"/>
      <c r="G45" s="63"/>
      <c r="H45" s="63"/>
      <c r="I45" s="63"/>
    </row>
    <row r="46" spans="1:9" x14ac:dyDescent="0.25">
      <c r="A46" s="63"/>
      <c r="B46" s="63"/>
      <c r="C46" s="63"/>
      <c r="D46" s="63"/>
      <c r="E46" s="63"/>
      <c r="F46" s="63"/>
      <c r="G46" s="63"/>
      <c r="H46" s="63"/>
      <c r="I46" s="63"/>
    </row>
    <row r="47" spans="1:9" x14ac:dyDescent="0.25">
      <c r="A47" s="63"/>
      <c r="B47" s="63"/>
      <c r="C47" s="63"/>
      <c r="D47" s="63"/>
      <c r="E47" s="63"/>
      <c r="F47" s="63"/>
      <c r="G47" s="63"/>
      <c r="H47" s="63"/>
      <c r="I47" s="63"/>
    </row>
    <row r="48" spans="1:9" x14ac:dyDescent="0.25">
      <c r="A48" s="63"/>
      <c r="B48" s="63"/>
      <c r="C48" s="63"/>
      <c r="D48" s="63"/>
      <c r="E48" s="63"/>
      <c r="F48" s="63"/>
      <c r="G48" s="63"/>
      <c r="H48" s="63"/>
      <c r="I48" s="63"/>
    </row>
  </sheetData>
  <sheetProtection password="DFE9" sheet="1" objects="1" scenarios="1"/>
  <mergeCells count="5">
    <mergeCell ref="B3:H4"/>
    <mergeCell ref="B8:H8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2" t="s">
        <v>109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6" t="s">
        <v>56</v>
      </c>
      <c r="C8" s="107"/>
      <c r="D8" s="107"/>
      <c r="E8" s="107"/>
      <c r="F8" s="107"/>
      <c r="G8" s="107"/>
      <c r="H8" s="108"/>
      <c r="I8" s="2"/>
    </row>
    <row r="9" spans="1:9" ht="15" customHeight="1" x14ac:dyDescent="0.25">
      <c r="A9" s="2"/>
      <c r="B9" s="93" t="s">
        <v>60</v>
      </c>
      <c r="C9" s="94"/>
      <c r="D9" s="95"/>
      <c r="E9" s="8">
        <f>'Fane 3. Korrigeret grundlag'!G12</f>
        <v>389749769.87746072</v>
      </c>
      <c r="F9" s="9" t="s">
        <v>4</v>
      </c>
      <c r="G9" s="10"/>
      <c r="H9" s="11"/>
      <c r="I9" s="2"/>
    </row>
    <row r="10" spans="1:9" x14ac:dyDescent="0.25">
      <c r="A10" s="2"/>
      <c r="B10" s="102" t="s">
        <v>46</v>
      </c>
      <c r="C10" s="97"/>
      <c r="D10" s="98"/>
      <c r="E10" s="12">
        <f>'Fane 3. Korrigeret grundlag'!G11</f>
        <v>27402694.272184137</v>
      </c>
      <c r="F10" s="9" t="s">
        <v>4</v>
      </c>
      <c r="G10" s="13"/>
      <c r="H10" s="14"/>
      <c r="I10" s="2"/>
    </row>
    <row r="11" spans="1:9" x14ac:dyDescent="0.25">
      <c r="A11" s="2"/>
      <c r="B11" s="102" t="s">
        <v>121</v>
      </c>
      <c r="C11" s="97"/>
      <c r="D11" s="98"/>
      <c r="E11" s="12">
        <f>'Fane 4. Ikke-påvirkelige omk.'!G20</f>
        <v>-5372782.9222869985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182</v>
      </c>
      <c r="C12" s="49"/>
      <c r="D12" s="50"/>
      <c r="E12" s="12">
        <f>'Fane 5. Individuelt eff.krav'!G10</f>
        <v>-4502757.5651879301</v>
      </c>
      <c r="F12" s="9" t="s">
        <v>4</v>
      </c>
      <c r="G12" s="13"/>
      <c r="H12" s="14"/>
      <c r="I12" s="2"/>
    </row>
    <row r="13" spans="1:9" x14ac:dyDescent="0.25">
      <c r="A13" s="2"/>
      <c r="B13" s="93" t="s">
        <v>129</v>
      </c>
      <c r="C13" s="94"/>
      <c r="D13" s="9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93" t="s">
        <v>130</v>
      </c>
      <c r="C14" s="94"/>
      <c r="D14" s="9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3" t="s">
        <v>168</v>
      </c>
      <c r="C15" s="94"/>
      <c r="D15" s="95"/>
      <c r="E15" s="12">
        <f>'Fane 11. Tillæg'!F19</f>
        <v>-32799.112500000003</v>
      </c>
      <c r="F15" s="9" t="s">
        <v>4</v>
      </c>
      <c r="G15" s="13"/>
      <c r="H15" s="14"/>
      <c r="I15" s="2"/>
    </row>
    <row r="16" spans="1:9" x14ac:dyDescent="0.25">
      <c r="A16" s="2"/>
      <c r="B16" s="93" t="s">
        <v>131</v>
      </c>
      <c r="C16" s="94"/>
      <c r="D16" s="9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93" t="s">
        <v>132</v>
      </c>
      <c r="C17" s="94"/>
      <c r="D17" s="9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102" t="s">
        <v>123</v>
      </c>
      <c r="C19" s="97"/>
      <c r="D19" s="98"/>
      <c r="E19" s="12">
        <f>SUM(E9,E11:E17)*(E18/100)</f>
        <v>6647225.029856002</v>
      </c>
      <c r="F19" s="9" t="s">
        <v>4</v>
      </c>
      <c r="G19" s="13"/>
      <c r="H19" s="14"/>
      <c r="I19" s="2"/>
    </row>
    <row r="20" spans="1:9" x14ac:dyDescent="0.25">
      <c r="A20" s="2"/>
      <c r="B20" s="96" t="s">
        <v>15</v>
      </c>
      <c r="C20" s="97"/>
      <c r="D20" s="98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96" t="s">
        <v>16</v>
      </c>
      <c r="C21" s="97"/>
      <c r="D21" s="98"/>
      <c r="E21" s="12">
        <f>'Fane 6. Generelt eff.krav'!G17</f>
        <v>6705217.0824895017</v>
      </c>
      <c r="F21" s="9" t="s">
        <v>4</v>
      </c>
      <c r="G21" s="16"/>
      <c r="H21" s="17"/>
      <c r="I21" s="2"/>
    </row>
    <row r="22" spans="1:9" x14ac:dyDescent="0.25">
      <c r="A22" s="2"/>
      <c r="B22" s="103" t="s">
        <v>174</v>
      </c>
      <c r="C22" s="104"/>
      <c r="D22" s="105"/>
      <c r="E22" s="18">
        <f>SUM(E9,E11:E17,E19)-SUM(E20:E21)</f>
        <v>379783438.22485232</v>
      </c>
      <c r="F22" s="19" t="s">
        <v>4</v>
      </c>
      <c r="G22" s="18">
        <f>E22</f>
        <v>379783438.22485232</v>
      </c>
      <c r="H22" s="19" t="s">
        <v>4</v>
      </c>
      <c r="I22" s="2"/>
    </row>
    <row r="23" spans="1:9" x14ac:dyDescent="0.25">
      <c r="A23" s="2"/>
      <c r="B23" s="106" t="s">
        <v>191</v>
      </c>
      <c r="C23" s="107"/>
      <c r="D23" s="107"/>
      <c r="E23" s="107"/>
      <c r="F23" s="107"/>
      <c r="G23" s="107"/>
      <c r="H23" s="108"/>
      <c r="I23" s="2"/>
    </row>
    <row r="24" spans="1:9" x14ac:dyDescent="0.25">
      <c r="A24" s="2"/>
      <c r="B24" s="99" t="s">
        <v>192</v>
      </c>
      <c r="C24" s="100"/>
      <c r="D24" s="101"/>
      <c r="E24" s="18">
        <f>'Fane 13. Klima'!G11</f>
        <v>1267204</v>
      </c>
      <c r="F24" s="19" t="s">
        <v>4</v>
      </c>
      <c r="G24" s="18">
        <f>E24</f>
        <v>1267204</v>
      </c>
      <c r="H24" s="19" t="s">
        <v>4</v>
      </c>
      <c r="I24" s="2"/>
    </row>
    <row r="25" spans="1:9" x14ac:dyDescent="0.25">
      <c r="A25" s="2"/>
      <c r="B25" s="106" t="s">
        <v>17</v>
      </c>
      <c r="C25" s="107"/>
      <c r="D25" s="107"/>
      <c r="E25" s="107"/>
      <c r="F25" s="107"/>
      <c r="G25" s="107"/>
      <c r="H25" s="108"/>
      <c r="I25" s="2"/>
    </row>
    <row r="26" spans="1:9" x14ac:dyDescent="0.25">
      <c r="A26" s="2"/>
      <c r="B26" s="99" t="s">
        <v>55</v>
      </c>
      <c r="C26" s="100"/>
      <c r="D26" s="101"/>
      <c r="E26" s="18">
        <f>'Fane 7. Hist. over el. underdæk'!G13</f>
        <v>4326378.3783068778</v>
      </c>
      <c r="F26" s="19" t="s">
        <v>4</v>
      </c>
      <c r="G26" s="18">
        <f>E26</f>
        <v>4326378.3783068778</v>
      </c>
      <c r="H26" s="19" t="s">
        <v>4</v>
      </c>
      <c r="I26" s="2"/>
    </row>
    <row r="27" spans="1:9" x14ac:dyDescent="0.25">
      <c r="A27" s="2"/>
      <c r="B27" s="106" t="s">
        <v>98</v>
      </c>
      <c r="C27" s="107"/>
      <c r="D27" s="107"/>
      <c r="E27" s="107"/>
      <c r="F27" s="107"/>
      <c r="G27" s="107"/>
      <c r="H27" s="108"/>
      <c r="I27" s="2"/>
    </row>
    <row r="28" spans="1:9" x14ac:dyDescent="0.25">
      <c r="A28" s="2"/>
      <c r="B28" s="93" t="s">
        <v>105</v>
      </c>
      <c r="C28" s="94"/>
      <c r="D28" s="95"/>
      <c r="E28" s="12">
        <f>'Fane 9. Korrektion af PL2016'!G11</f>
        <v>-6184642</v>
      </c>
      <c r="F28" s="9" t="s">
        <v>4</v>
      </c>
      <c r="G28" s="20"/>
      <c r="H28" s="11"/>
      <c r="I28" s="2"/>
    </row>
    <row r="29" spans="1:9" x14ac:dyDescent="0.25">
      <c r="A29" s="2"/>
      <c r="B29" s="93" t="s">
        <v>99</v>
      </c>
      <c r="C29" s="94"/>
      <c r="D29" s="95"/>
      <c r="E29" s="12">
        <f>'Fane 9. Korrektion af PL2016'!G17</f>
        <v>529512</v>
      </c>
      <c r="F29" s="9" t="s">
        <v>4</v>
      </c>
      <c r="G29" s="15"/>
      <c r="H29" s="14"/>
      <c r="I29" s="2"/>
    </row>
    <row r="30" spans="1:9" ht="30" customHeight="1" x14ac:dyDescent="0.25">
      <c r="A30" s="2"/>
      <c r="B30" s="93" t="s">
        <v>100</v>
      </c>
      <c r="C30" s="94"/>
      <c r="D30" s="95"/>
      <c r="E30" s="12">
        <f>'Fane 9. Korrektion af PL2016'!G23</f>
        <v>-10000</v>
      </c>
      <c r="F30" s="9" t="s">
        <v>4</v>
      </c>
      <c r="G30" s="13"/>
      <c r="H30" s="14"/>
      <c r="I30" s="2"/>
    </row>
    <row r="31" spans="1:9" ht="30" customHeight="1" x14ac:dyDescent="0.25">
      <c r="A31" s="2"/>
      <c r="B31" s="93" t="s">
        <v>101</v>
      </c>
      <c r="C31" s="94"/>
      <c r="D31" s="95"/>
      <c r="E31" s="12">
        <f>'Fane 9. Korrektion af PL2016'!G29</f>
        <v>212339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3" t="s">
        <v>102</v>
      </c>
      <c r="C32" s="94"/>
      <c r="D32" s="95"/>
      <c r="E32" s="12">
        <f>'Fane 9. Korrektion af PL2016'!G36</f>
        <v>4845532.703333335</v>
      </c>
      <c r="F32" s="9" t="s">
        <v>4</v>
      </c>
      <c r="G32" s="15"/>
      <c r="H32" s="14"/>
      <c r="I32" s="2"/>
    </row>
    <row r="33" spans="1:9" x14ac:dyDescent="0.25">
      <c r="A33" s="2"/>
      <c r="B33" s="99" t="s">
        <v>103</v>
      </c>
      <c r="C33" s="100"/>
      <c r="D33" s="101"/>
      <c r="E33" s="18">
        <f>SUM(E28:E32)</f>
        <v>-607258.296666665</v>
      </c>
      <c r="F33" s="19" t="s">
        <v>4</v>
      </c>
      <c r="G33" s="18">
        <f>E33</f>
        <v>-607258.296666665</v>
      </c>
      <c r="H33" s="19" t="s">
        <v>4</v>
      </c>
      <c r="I33" s="2"/>
    </row>
    <row r="34" spans="1:9" x14ac:dyDescent="0.25">
      <c r="A34" s="2"/>
      <c r="B34" s="106" t="s">
        <v>18</v>
      </c>
      <c r="C34" s="107"/>
      <c r="D34" s="107"/>
      <c r="E34" s="107"/>
      <c r="F34" s="107"/>
      <c r="G34" s="107"/>
      <c r="H34" s="108"/>
      <c r="I34" s="2"/>
    </row>
    <row r="35" spans="1:9" x14ac:dyDescent="0.25">
      <c r="A35" s="2"/>
      <c r="B35" s="99" t="s">
        <v>104</v>
      </c>
      <c r="C35" s="100"/>
      <c r="D35" s="101"/>
      <c r="E35" s="18">
        <f>'Fane 10. Kontrol af PL2016'!G36</f>
        <v>-2637148.1933243871</v>
      </c>
      <c r="F35" s="19" t="s">
        <v>4</v>
      </c>
      <c r="G35" s="18">
        <f>E35</f>
        <v>-2637148.1933243871</v>
      </c>
      <c r="H35" s="19" t="s">
        <v>4</v>
      </c>
      <c r="I35" s="2"/>
    </row>
    <row r="36" spans="1:9" x14ac:dyDescent="0.25">
      <c r="A36" s="2"/>
      <c r="B36" s="106" t="s">
        <v>62</v>
      </c>
      <c r="C36" s="107"/>
      <c r="D36" s="107"/>
      <c r="E36" s="107"/>
      <c r="F36" s="108"/>
      <c r="G36" s="21">
        <f>G22+G24+G26+G33+G35</f>
        <v>382132614.11316812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11:D11"/>
    <mergeCell ref="B33:D33"/>
    <mergeCell ref="B30:D30"/>
    <mergeCell ref="B36:F36"/>
    <mergeCell ref="B19:D19"/>
    <mergeCell ref="B13:D13"/>
    <mergeCell ref="B14:D14"/>
    <mergeCell ref="B16:D16"/>
    <mergeCell ref="B17:D17"/>
    <mergeCell ref="B15:D15"/>
    <mergeCell ref="B23:H23"/>
    <mergeCell ref="B24:D24"/>
    <mergeCell ref="B3:H4"/>
    <mergeCell ref="B9:D9"/>
    <mergeCell ref="B20:D20"/>
    <mergeCell ref="B35:D35"/>
    <mergeCell ref="B21:D21"/>
    <mergeCell ref="B10:D10"/>
    <mergeCell ref="B22:D22"/>
    <mergeCell ref="B26:D26"/>
    <mergeCell ref="B29:D29"/>
    <mergeCell ref="B31:D31"/>
    <mergeCell ref="B32:D32"/>
    <mergeCell ref="B34:H34"/>
    <mergeCell ref="B27:H27"/>
    <mergeCell ref="B25:H25"/>
    <mergeCell ref="B28:D28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3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2" t="s">
        <v>108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6" t="s">
        <v>56</v>
      </c>
      <c r="C8" s="107"/>
      <c r="D8" s="107"/>
      <c r="E8" s="107"/>
      <c r="F8" s="107"/>
      <c r="G8" s="107"/>
      <c r="H8" s="108"/>
      <c r="I8" s="2"/>
    </row>
    <row r="9" spans="1:9" x14ac:dyDescent="0.25">
      <c r="A9" s="2"/>
      <c r="B9" s="93" t="s">
        <v>106</v>
      </c>
      <c r="C9" s="94"/>
      <c r="D9" s="95"/>
      <c r="E9" s="8">
        <f>'Fane 2.1. Økonomisk ramme 2018'!G22</f>
        <v>379783438.22485232</v>
      </c>
      <c r="F9" s="9" t="s">
        <v>4</v>
      </c>
      <c r="G9" s="10"/>
      <c r="H9" s="11"/>
      <c r="I9" s="2"/>
    </row>
    <row r="10" spans="1:9" x14ac:dyDescent="0.25">
      <c r="A10" s="2"/>
      <c r="B10" s="102" t="s">
        <v>46</v>
      </c>
      <c r="C10" s="109"/>
      <c r="D10" s="110"/>
      <c r="E10" s="12">
        <f>(SUM('Fane 2.1. Økonomisk ramme 2018'!E10:E11,'Fane 2.1. Økonomisk ramme 2018'!E15))*(1+'Fane 2.1. Økonomisk ramme 2018'!E18/100)</f>
        <v>22382061.70155159</v>
      </c>
      <c r="F10" s="9" t="s">
        <v>4</v>
      </c>
      <c r="G10" s="13"/>
      <c r="H10" s="14"/>
      <c r="I10" s="2"/>
    </row>
    <row r="11" spans="1:9" x14ac:dyDescent="0.25">
      <c r="A11" s="2"/>
      <c r="B11" s="96" t="s">
        <v>61</v>
      </c>
      <c r="C11" s="97"/>
      <c r="D11" s="98"/>
      <c r="E11" s="12">
        <f>$E$9*'Fane 2.1. Økonomisk ramme 2018'!E18/100</f>
        <v>6646210.1689349152</v>
      </c>
      <c r="F11" s="9" t="s">
        <v>4</v>
      </c>
      <c r="G11" s="15"/>
      <c r="H11" s="14"/>
      <c r="I11" s="2"/>
    </row>
    <row r="12" spans="1:9" x14ac:dyDescent="0.25">
      <c r="A12" s="2"/>
      <c r="B12" s="96" t="s">
        <v>15</v>
      </c>
      <c r="C12" s="97"/>
      <c r="D12" s="98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6696497.3049368784</v>
      </c>
      <c r="F13" s="9" t="s">
        <v>4</v>
      </c>
      <c r="G13" s="16"/>
      <c r="H13" s="17"/>
      <c r="I13" s="2"/>
    </row>
    <row r="14" spans="1:9" x14ac:dyDescent="0.25">
      <c r="A14" s="2"/>
      <c r="B14" s="103" t="s">
        <v>174</v>
      </c>
      <c r="C14" s="104"/>
      <c r="D14" s="105"/>
      <c r="E14" s="18">
        <f>$E$9+$E$11-$E$12-$E$13</f>
        <v>379733151.08885038</v>
      </c>
      <c r="F14" s="19" t="s">
        <v>4</v>
      </c>
      <c r="G14" s="18">
        <f>E14</f>
        <v>379733151.08885038</v>
      </c>
      <c r="H14" s="19" t="s">
        <v>4</v>
      </c>
      <c r="I14" s="2"/>
    </row>
    <row r="15" spans="1:9" x14ac:dyDescent="0.25">
      <c r="A15" s="2"/>
      <c r="B15" s="106" t="s">
        <v>191</v>
      </c>
      <c r="C15" s="107"/>
      <c r="D15" s="107"/>
      <c r="E15" s="107"/>
      <c r="F15" s="107"/>
      <c r="G15" s="107"/>
      <c r="H15" s="108"/>
      <c r="I15" s="2"/>
    </row>
    <row r="16" spans="1:9" x14ac:dyDescent="0.25">
      <c r="A16" s="2"/>
      <c r="B16" s="99" t="s">
        <v>192</v>
      </c>
      <c r="C16" s="100"/>
      <c r="D16" s="101"/>
      <c r="E16" s="18">
        <f>'Fane 2.1. Økonomisk ramme 2018'!G24</f>
        <v>1267204</v>
      </c>
      <c r="F16" s="19" t="s">
        <v>4</v>
      </c>
      <c r="G16" s="18">
        <f>E16</f>
        <v>1267204</v>
      </c>
      <c r="H16" s="19" t="s">
        <v>4</v>
      </c>
      <c r="I16" s="2"/>
    </row>
    <row r="17" spans="1:9" x14ac:dyDescent="0.25">
      <c r="A17" s="2"/>
      <c r="B17" s="106" t="s">
        <v>17</v>
      </c>
      <c r="C17" s="107"/>
      <c r="D17" s="107"/>
      <c r="E17" s="107"/>
      <c r="F17" s="107"/>
      <c r="G17" s="107"/>
      <c r="H17" s="108"/>
      <c r="I17" s="2"/>
    </row>
    <row r="18" spans="1:9" ht="15" customHeight="1" x14ac:dyDescent="0.25">
      <c r="A18" s="2"/>
      <c r="B18" s="99" t="s">
        <v>55</v>
      </c>
      <c r="C18" s="100"/>
      <c r="D18" s="101"/>
      <c r="E18" s="18">
        <f>IF('Fane 7. Hist. over el. underdæk'!$G$12&gt;1,'Fane 7. Hist. over el. underdæk'!$G$13,0)</f>
        <v>4326378.3783068778</v>
      </c>
      <c r="F18" s="19" t="s">
        <v>4</v>
      </c>
      <c r="G18" s="18">
        <f>E18</f>
        <v>4326378.3783068778</v>
      </c>
      <c r="H18" s="19" t="s">
        <v>4</v>
      </c>
      <c r="I18" s="2"/>
    </row>
    <row r="19" spans="1:9" x14ac:dyDescent="0.25">
      <c r="A19" s="2"/>
      <c r="B19" s="106" t="s">
        <v>107</v>
      </c>
      <c r="C19" s="107"/>
      <c r="D19" s="107"/>
      <c r="E19" s="107"/>
      <c r="F19" s="108"/>
      <c r="G19" s="21">
        <f>G14+G16+G18</f>
        <v>385326733.46715724</v>
      </c>
      <c r="H19" s="22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</sheetData>
  <sheetProtection password="DFE9" sheet="1" objects="1" scenarios="1"/>
  <mergeCells count="12">
    <mergeCell ref="B19:F19"/>
    <mergeCell ref="B3:H4"/>
    <mergeCell ref="B8:H8"/>
    <mergeCell ref="B9:D9"/>
    <mergeCell ref="B10:D10"/>
    <mergeCell ref="B11:D11"/>
    <mergeCell ref="B12:D12"/>
    <mergeCell ref="B14:D14"/>
    <mergeCell ref="B17:H17"/>
    <mergeCell ref="B18:D18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14" t="s">
        <v>139</v>
      </c>
      <c r="C3" s="114"/>
      <c r="D3" s="114"/>
      <c r="E3" s="114"/>
      <c r="F3" s="114"/>
      <c r="G3" s="114"/>
      <c r="H3" s="114"/>
      <c r="I3" s="2"/>
    </row>
    <row r="4" spans="1:9" ht="29.25" customHeight="1" x14ac:dyDescent="0.25">
      <c r="A4" s="2"/>
      <c r="B4" s="114"/>
      <c r="C4" s="114"/>
      <c r="D4" s="114"/>
      <c r="E4" s="114"/>
      <c r="F4" s="114"/>
      <c r="G4" s="114"/>
      <c r="H4" s="11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6" t="s">
        <v>141</v>
      </c>
      <c r="C8" s="107"/>
      <c r="D8" s="107"/>
      <c r="E8" s="107"/>
      <c r="F8" s="107"/>
      <c r="G8" s="107"/>
      <c r="H8" s="108"/>
      <c r="I8" s="2"/>
    </row>
    <row r="9" spans="1:9" x14ac:dyDescent="0.25">
      <c r="A9" s="2"/>
      <c r="B9" s="96" t="s">
        <v>110</v>
      </c>
      <c r="C9" s="97"/>
      <c r="D9" s="97"/>
      <c r="E9" s="97"/>
      <c r="F9" s="98"/>
      <c r="G9" s="27">
        <v>113598036.08112258</v>
      </c>
      <c r="H9" s="23" t="s">
        <v>4</v>
      </c>
      <c r="I9" s="2"/>
    </row>
    <row r="10" spans="1:9" x14ac:dyDescent="0.25">
      <c r="A10" s="2"/>
      <c r="B10" s="96" t="s">
        <v>111</v>
      </c>
      <c r="C10" s="97"/>
      <c r="D10" s="97"/>
      <c r="E10" s="97"/>
      <c r="F10" s="98"/>
      <c r="G10" s="27">
        <v>248749039.52415401</v>
      </c>
      <c r="H10" s="23" t="s">
        <v>4</v>
      </c>
      <c r="I10" s="2"/>
    </row>
    <row r="11" spans="1:9" x14ac:dyDescent="0.25">
      <c r="A11" s="2"/>
      <c r="B11" s="96" t="s">
        <v>138</v>
      </c>
      <c r="C11" s="97"/>
      <c r="D11" s="97"/>
      <c r="E11" s="97"/>
      <c r="F11" s="98"/>
      <c r="G11" s="27">
        <v>27402694.272184137</v>
      </c>
      <c r="H11" s="23" t="s">
        <v>4</v>
      </c>
      <c r="I11" s="2"/>
    </row>
    <row r="12" spans="1:9" ht="17.25" customHeight="1" x14ac:dyDescent="0.25">
      <c r="A12" s="2"/>
      <c r="B12" s="111" t="s">
        <v>143</v>
      </c>
      <c r="C12" s="112"/>
      <c r="D12" s="112"/>
      <c r="E12" s="112"/>
      <c r="F12" s="113"/>
      <c r="G12" s="21">
        <f>SUM(G9:G11)</f>
        <v>389749769.87746072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2" t="s">
        <v>112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6" t="s">
        <v>113</v>
      </c>
      <c r="C8" s="107"/>
      <c r="D8" s="107"/>
      <c r="E8" s="107"/>
      <c r="F8" s="107"/>
      <c r="G8" s="107"/>
      <c r="H8" s="108"/>
      <c r="I8" s="2"/>
    </row>
    <row r="9" spans="1:9" ht="51.75" customHeight="1" x14ac:dyDescent="0.25">
      <c r="A9" s="2"/>
      <c r="B9" s="99" t="s">
        <v>115</v>
      </c>
      <c r="C9" s="100"/>
      <c r="D9" s="10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15" t="s">
        <v>159</v>
      </c>
      <c r="C10" s="116"/>
      <c r="D10" s="116"/>
      <c r="E10" s="56">
        <v>6550591.7998000002</v>
      </c>
      <c r="F10" s="23" t="s">
        <v>4</v>
      </c>
      <c r="G10" s="27">
        <v>6505681</v>
      </c>
      <c r="H10" s="23" t="s">
        <v>4</v>
      </c>
      <c r="I10" s="2"/>
    </row>
    <row r="11" spans="1:9" x14ac:dyDescent="0.25">
      <c r="A11" s="2"/>
      <c r="B11" s="115" t="s">
        <v>160</v>
      </c>
      <c r="C11" s="116"/>
      <c r="D11" s="116"/>
      <c r="E11" s="56">
        <v>2521515.6908</v>
      </c>
      <c r="F11" s="23" t="s">
        <v>4</v>
      </c>
      <c r="G11" s="27">
        <v>1935591</v>
      </c>
      <c r="H11" s="23" t="s">
        <v>4</v>
      </c>
      <c r="I11" s="2"/>
    </row>
    <row r="12" spans="1:9" x14ac:dyDescent="0.25">
      <c r="A12" s="2"/>
      <c r="B12" s="115" t="s">
        <v>161</v>
      </c>
      <c r="C12" s="116"/>
      <c r="D12" s="116"/>
      <c r="E12" s="56">
        <v>5787922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15" t="s">
        <v>162</v>
      </c>
      <c r="C13" s="116"/>
      <c r="D13" s="116"/>
      <c r="E13" s="56">
        <v>16199.208199999999</v>
      </c>
      <c r="F13" s="23" t="s">
        <v>4</v>
      </c>
      <c r="G13" s="27">
        <v>229146</v>
      </c>
      <c r="H13" s="23" t="s">
        <v>4</v>
      </c>
      <c r="I13" s="2"/>
    </row>
    <row r="14" spans="1:9" x14ac:dyDescent="0.25">
      <c r="A14" s="2"/>
      <c r="B14" s="115" t="s">
        <v>163</v>
      </c>
      <c r="C14" s="116"/>
      <c r="D14" s="11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15" t="s">
        <v>164</v>
      </c>
      <c r="C15" s="116"/>
      <c r="D15" s="116"/>
      <c r="E15" s="56">
        <v>8252109.3694000002</v>
      </c>
      <c r="F15" s="23" t="s">
        <v>4</v>
      </c>
      <c r="G15" s="27">
        <v>8508482</v>
      </c>
      <c r="H15" s="23" t="s">
        <v>4</v>
      </c>
      <c r="I15" s="2"/>
    </row>
    <row r="16" spans="1:9" x14ac:dyDescent="0.25">
      <c r="A16" s="2"/>
      <c r="B16" s="115" t="s">
        <v>165</v>
      </c>
      <c r="C16" s="116"/>
      <c r="D16" s="116"/>
      <c r="E16" s="56">
        <v>1476927.2682</v>
      </c>
      <c r="F16" s="23" t="s">
        <v>4</v>
      </c>
      <c r="G16" s="27">
        <v>1427958</v>
      </c>
      <c r="H16" s="23" t="s">
        <v>4</v>
      </c>
      <c r="I16" s="2"/>
    </row>
    <row r="17" spans="1:9" x14ac:dyDescent="0.25">
      <c r="A17" s="2"/>
      <c r="B17" s="115" t="s">
        <v>166</v>
      </c>
      <c r="C17" s="116"/>
      <c r="D17" s="11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7.75" customHeight="1" x14ac:dyDescent="0.25">
      <c r="A18" s="2"/>
      <c r="B18" s="117" t="s">
        <v>167</v>
      </c>
      <c r="C18" s="117"/>
      <c r="D18" s="117"/>
      <c r="E18" s="56">
        <v>2453779</v>
      </c>
      <c r="F18" s="23" t="s">
        <v>4</v>
      </c>
      <c r="G18" s="27">
        <v>3171810</v>
      </c>
      <c r="H18" s="23" t="s">
        <v>4</v>
      </c>
      <c r="I18" s="2"/>
    </row>
    <row r="19" spans="1:9" x14ac:dyDescent="0.25">
      <c r="A19" s="2"/>
      <c r="B19" s="106" t="s">
        <v>134</v>
      </c>
      <c r="C19" s="107"/>
      <c r="D19" s="107"/>
      <c r="E19" s="107"/>
      <c r="F19" s="108"/>
      <c r="G19" s="21">
        <f>SUM(G10:G18)-SUM(E10:E18)</f>
        <v>-5280376.3363999985</v>
      </c>
      <c r="H19" s="22" t="s">
        <v>4</v>
      </c>
      <c r="I19" s="2"/>
    </row>
    <row r="20" spans="1:9" x14ac:dyDescent="0.25">
      <c r="A20" s="2"/>
      <c r="B20" s="106" t="s">
        <v>135</v>
      </c>
      <c r="C20" s="107"/>
      <c r="D20" s="107"/>
      <c r="E20" s="107"/>
      <c r="F20" s="108"/>
      <c r="G20" s="21">
        <f>G19*(1+'Fane 2.1. Økonomisk ramme 2018'!E18/100)</f>
        <v>-5372782.9222869985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2" t="s">
        <v>71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6" t="s">
        <v>15</v>
      </c>
      <c r="C8" s="107"/>
      <c r="D8" s="107"/>
      <c r="E8" s="107"/>
      <c r="F8" s="107"/>
      <c r="G8" s="107"/>
      <c r="H8" s="108"/>
      <c r="I8" s="2"/>
    </row>
    <row r="9" spans="1:9" x14ac:dyDescent="0.25">
      <c r="A9" s="2"/>
      <c r="B9" s="96" t="s">
        <v>51</v>
      </c>
      <c r="C9" s="97"/>
      <c r="D9" s="97"/>
      <c r="E9" s="97"/>
      <c r="F9" s="98"/>
      <c r="G9" s="12">
        <f>'Fane 3. Korrigeret grundlag'!G12-'Fane 3. Korrigeret grundlag'!G11+SUM('Fane 2.1. Økonomisk ramme 2018'!E13:E14,'Fane 2.1. Økonomisk ramme 2018'!E16:E17)</f>
        <v>362347075.60527658</v>
      </c>
      <c r="H9" s="23" t="s">
        <v>4</v>
      </c>
      <c r="I9" s="2"/>
    </row>
    <row r="10" spans="1:9" x14ac:dyDescent="0.25">
      <c r="A10" s="2"/>
      <c r="B10" s="48" t="s">
        <v>182</v>
      </c>
      <c r="C10" s="49"/>
      <c r="D10" s="49"/>
      <c r="E10" s="49"/>
      <c r="F10" s="50"/>
      <c r="G10" s="12">
        <v>-4502757.5651879301</v>
      </c>
      <c r="H10" s="23" t="s">
        <v>4</v>
      </c>
      <c r="I10" s="2"/>
    </row>
    <row r="11" spans="1:9" x14ac:dyDescent="0.25">
      <c r="A11" s="2"/>
      <c r="B11" s="96" t="s">
        <v>37</v>
      </c>
      <c r="C11" s="97"/>
      <c r="D11" s="97"/>
      <c r="E11" s="97"/>
      <c r="F11" s="98"/>
      <c r="G11" s="29">
        <v>0</v>
      </c>
      <c r="H11" s="23" t="s">
        <v>38</v>
      </c>
      <c r="I11" s="2"/>
    </row>
    <row r="12" spans="1:9" x14ac:dyDescent="0.25">
      <c r="A12" s="2"/>
      <c r="B12" s="106" t="s">
        <v>15</v>
      </c>
      <c r="C12" s="107"/>
      <c r="D12" s="107"/>
      <c r="E12" s="107"/>
      <c r="F12" s="108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2" t="s">
        <v>72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6" t="s">
        <v>53</v>
      </c>
      <c r="C8" s="107"/>
      <c r="D8" s="107"/>
      <c r="E8" s="107"/>
      <c r="F8" s="107"/>
      <c r="G8" s="107"/>
      <c r="H8" s="108"/>
      <c r="I8" s="2"/>
    </row>
    <row r="9" spans="1:9" x14ac:dyDescent="0.25">
      <c r="A9" s="2"/>
      <c r="B9" s="118" t="s">
        <v>47</v>
      </c>
      <c r="C9" s="119"/>
      <c r="D9" s="119"/>
      <c r="E9" s="119"/>
      <c r="F9" s="120"/>
      <c r="G9" s="12">
        <f>'Fane 3. Korrigeret grundlag'!G9+(SUM('Fane 2.1. Økonomisk ramme 2018'!E13,'Fane 2.1. Økonomisk ramme 2018'!E16))</f>
        <v>113598036.08112258</v>
      </c>
      <c r="H9" s="23" t="s">
        <v>4</v>
      </c>
      <c r="I9" s="2"/>
    </row>
    <row r="10" spans="1:9" x14ac:dyDescent="0.25">
      <c r="A10" s="2"/>
      <c r="B10" s="52" t="s">
        <v>181</v>
      </c>
      <c r="C10" s="53"/>
      <c r="D10" s="53"/>
      <c r="E10" s="53"/>
      <c r="F10" s="54"/>
      <c r="G10" s="12">
        <v>-2272162.491970452</v>
      </c>
      <c r="H10" s="23" t="s">
        <v>4</v>
      </c>
      <c r="I10" s="2"/>
    </row>
    <row r="11" spans="1:9" x14ac:dyDescent="0.25">
      <c r="A11" s="2"/>
      <c r="B11" s="96" t="s">
        <v>16</v>
      </c>
      <c r="C11" s="97"/>
      <c r="D11" s="97"/>
      <c r="E11" s="97"/>
      <c r="F11" s="98"/>
      <c r="G11" s="37">
        <f>2</f>
        <v>2</v>
      </c>
      <c r="H11" s="23" t="s">
        <v>38</v>
      </c>
      <c r="I11" s="2"/>
    </row>
    <row r="12" spans="1:9" x14ac:dyDescent="0.25">
      <c r="A12" s="2"/>
      <c r="B12" s="103" t="s">
        <v>39</v>
      </c>
      <c r="C12" s="104"/>
      <c r="D12" s="104"/>
      <c r="E12" s="104"/>
      <c r="F12" s="105"/>
      <c r="G12" s="18">
        <f>($G$9+$G$10)*(1+'Fane 2.1. Økonomisk ramme 2018'!E18/100)*$G$11/100</f>
        <v>2265481.5275392462</v>
      </c>
      <c r="H12" s="38" t="s">
        <v>4</v>
      </c>
      <c r="I12" s="2"/>
    </row>
    <row r="13" spans="1:9" x14ac:dyDescent="0.25">
      <c r="A13" s="2"/>
      <c r="B13" s="96" t="s">
        <v>48</v>
      </c>
      <c r="C13" s="97"/>
      <c r="D13" s="97"/>
      <c r="E13" s="97"/>
      <c r="F13" s="98"/>
      <c r="G13" s="12">
        <f xml:space="preserve"> 'Fane 3. Korrigeret grundlag'!G10+SUM('Fane 2.1. Økonomisk ramme 2018'!E14,'Fane 2.1. Økonomisk ramme 2018'!E17)</f>
        <v>248749039.52415401</v>
      </c>
      <c r="H13" s="23" t="s">
        <v>4</v>
      </c>
      <c r="I13" s="2"/>
    </row>
    <row r="14" spans="1:9" x14ac:dyDescent="0.25">
      <c r="A14" s="2"/>
      <c r="B14" s="48" t="s">
        <v>183</v>
      </c>
      <c r="C14" s="49"/>
      <c r="D14" s="49"/>
      <c r="E14" s="49"/>
      <c r="F14" s="50"/>
      <c r="G14" s="12">
        <v>-2230595.0732174702</v>
      </c>
      <c r="H14" s="23" t="s">
        <v>4</v>
      </c>
      <c r="I14" s="2"/>
    </row>
    <row r="15" spans="1:9" x14ac:dyDescent="0.25">
      <c r="A15" s="2"/>
      <c r="B15" s="96" t="s">
        <v>16</v>
      </c>
      <c r="C15" s="97"/>
      <c r="D15" s="97"/>
      <c r="E15" s="97"/>
      <c r="F15" s="98"/>
      <c r="G15" s="30">
        <v>1.77</v>
      </c>
      <c r="H15" s="23" t="s">
        <v>38</v>
      </c>
      <c r="I15" s="2"/>
    </row>
    <row r="16" spans="1:9" x14ac:dyDescent="0.25">
      <c r="A16" s="2"/>
      <c r="B16" s="103" t="s">
        <v>40</v>
      </c>
      <c r="C16" s="104"/>
      <c r="D16" s="104"/>
      <c r="E16" s="104"/>
      <c r="F16" s="105"/>
      <c r="G16" s="18">
        <f>($G$13+$G$14)*(1+'Fane 2.1. Økonomisk ramme 2018'!E18/100)*$G$15/100</f>
        <v>4439735.554950255</v>
      </c>
      <c r="H16" s="38" t="s">
        <v>4</v>
      </c>
      <c r="I16" s="2"/>
    </row>
    <row r="17" spans="1:9" x14ac:dyDescent="0.25">
      <c r="A17" s="2"/>
      <c r="B17" s="106" t="s">
        <v>52</v>
      </c>
      <c r="C17" s="107"/>
      <c r="D17" s="107"/>
      <c r="E17" s="107"/>
      <c r="F17" s="108"/>
      <c r="G17" s="21">
        <f>G12+G16</f>
        <v>6705217.0824895017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2" t="s">
        <v>73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06" t="s">
        <v>54</v>
      </c>
      <c r="C8" s="107"/>
      <c r="D8" s="107"/>
      <c r="E8" s="107"/>
      <c r="F8" s="107"/>
      <c r="G8" s="107"/>
      <c r="H8" s="108"/>
      <c r="I8" s="2"/>
    </row>
    <row r="9" spans="1:9" x14ac:dyDescent="0.25">
      <c r="A9" s="2"/>
      <c r="B9" s="96" t="s">
        <v>42</v>
      </c>
      <c r="C9" s="97"/>
      <c r="D9" s="97"/>
      <c r="E9" s="97"/>
      <c r="F9" s="98"/>
      <c r="G9" s="27">
        <v>48943000</v>
      </c>
      <c r="H9" s="23" t="s">
        <v>4</v>
      </c>
      <c r="I9" s="2"/>
    </row>
    <row r="10" spans="1:9" x14ac:dyDescent="0.25">
      <c r="A10" s="2"/>
      <c r="B10" s="96" t="s">
        <v>120</v>
      </c>
      <c r="C10" s="97"/>
      <c r="D10" s="97"/>
      <c r="E10" s="97"/>
      <c r="F10" s="98"/>
      <c r="G10" s="27">
        <v>35963864.865079366</v>
      </c>
      <c r="H10" s="23" t="s">
        <v>4</v>
      </c>
      <c r="I10" s="2"/>
    </row>
    <row r="11" spans="1:9" x14ac:dyDescent="0.25">
      <c r="A11" s="2"/>
      <c r="B11" s="121" t="s">
        <v>45</v>
      </c>
      <c r="C11" s="122"/>
      <c r="D11" s="122"/>
      <c r="E11" s="122"/>
      <c r="F11" s="123"/>
      <c r="G11" s="57">
        <f>G9-G10</f>
        <v>12979135.134920634</v>
      </c>
      <c r="H11" s="39" t="s">
        <v>4</v>
      </c>
      <c r="I11" s="2"/>
    </row>
    <row r="12" spans="1:9" x14ac:dyDescent="0.25">
      <c r="A12" s="2"/>
      <c r="B12" s="96" t="s">
        <v>43</v>
      </c>
      <c r="C12" s="97"/>
      <c r="D12" s="97"/>
      <c r="E12" s="97"/>
      <c r="F12" s="98"/>
      <c r="G12" s="27">
        <v>3</v>
      </c>
      <c r="H12" s="23" t="s">
        <v>125</v>
      </c>
      <c r="I12" s="2"/>
    </row>
    <row r="13" spans="1:9" x14ac:dyDescent="0.25">
      <c r="A13" s="2"/>
      <c r="B13" s="106" t="s">
        <v>41</v>
      </c>
      <c r="C13" s="107"/>
      <c r="D13" s="107"/>
      <c r="E13" s="107"/>
      <c r="F13" s="108"/>
      <c r="G13" s="21">
        <f>IF(G12 = 0,0,G11/G12)</f>
        <v>4326378.3783068778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2" t="s">
        <v>74</v>
      </c>
      <c r="C3" s="92"/>
      <c r="D3" s="92"/>
      <c r="E3" s="92"/>
      <c r="F3" s="92"/>
      <c r="G3" s="92"/>
      <c r="H3" s="2"/>
    </row>
    <row r="4" spans="1:8" ht="15" customHeight="1" x14ac:dyDescent="0.25">
      <c r="A4" s="2"/>
      <c r="B4" s="92"/>
      <c r="C4" s="92"/>
      <c r="D4" s="92"/>
      <c r="E4" s="92"/>
      <c r="F4" s="92"/>
      <c r="G4" s="9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06" t="s">
        <v>75</v>
      </c>
      <c r="C8" s="107"/>
      <c r="D8" s="107"/>
      <c r="E8" s="107"/>
      <c r="F8" s="107"/>
      <c r="G8" s="10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24" t="s">
        <v>3</v>
      </c>
      <c r="G9" s="124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589058</v>
      </c>
      <c r="F10" s="12">
        <f>E10/D10</f>
        <v>117811.6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5</v>
      </c>
      <c r="E11" s="27">
        <v>5361364</v>
      </c>
      <c r="F11" s="12">
        <f t="shared" ref="F11:F22" si="0">E11/D11</f>
        <v>1072272.8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50</v>
      </c>
      <c r="E12" s="27">
        <v>75367262</v>
      </c>
      <c r="F12" s="12">
        <f t="shared" si="0"/>
        <v>1507345.24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210736422</v>
      </c>
      <c r="F13" s="12">
        <f t="shared" si="0"/>
        <v>2809818.96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60</v>
      </c>
      <c r="E14" s="27">
        <v>6484612</v>
      </c>
      <c r="F14" s="12">
        <f t="shared" si="0"/>
        <v>108076.86666666667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28575231</v>
      </c>
      <c r="F15" s="12">
        <f t="shared" si="0"/>
        <v>1428761.55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10</v>
      </c>
      <c r="E16" s="27">
        <v>4998034</v>
      </c>
      <c r="F16" s="12">
        <f t="shared" si="0"/>
        <v>499803.4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20</v>
      </c>
      <c r="E17" s="27">
        <v>7059763</v>
      </c>
      <c r="F17" s="12">
        <f t="shared" si="0"/>
        <v>352988.15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20</v>
      </c>
      <c r="E18" s="27">
        <v>5049634</v>
      </c>
      <c r="F18" s="12">
        <f t="shared" si="0"/>
        <v>252481.7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50</v>
      </c>
      <c r="E19" s="27">
        <v>25706046</v>
      </c>
      <c r="F19" s="12">
        <f t="shared" si="0"/>
        <v>514120.92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60</v>
      </c>
      <c r="E20" s="27">
        <v>1465477</v>
      </c>
      <c r="F20" s="12">
        <f t="shared" si="0"/>
        <v>24424.616666666665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20</v>
      </c>
      <c r="E21" s="27">
        <v>24491378</v>
      </c>
      <c r="F21" s="12">
        <f t="shared" si="0"/>
        <v>1224568.8999999999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10</v>
      </c>
      <c r="E22" s="27">
        <v>12119540</v>
      </c>
      <c r="F22" s="12">
        <f t="shared" si="0"/>
        <v>1211954</v>
      </c>
      <c r="G22" s="23" t="s">
        <v>4</v>
      </c>
      <c r="H22" s="2"/>
    </row>
    <row r="23" spans="1:8" x14ac:dyDescent="0.25">
      <c r="A23" s="2"/>
      <c r="B23" s="106" t="s">
        <v>76</v>
      </c>
      <c r="C23" s="107"/>
      <c r="D23" s="107"/>
      <c r="E23" s="108"/>
      <c r="F23" s="21">
        <f>SUM(F10:F22)</f>
        <v>11124428.703333335</v>
      </c>
      <c r="G23" s="22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2017-10-13T13:08:50Z</dcterms:modified>
</cp:coreProperties>
</file>