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15" i="13"/>
  <c r="F11" i="11"/>
  <c r="F77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78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<sst xmlns="http://schemas.openxmlformats.org/spreadsheetml/2006/main" count="487" uniqueCount="203">
  <si>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</si>
  <si>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</si>
  <si>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</si>
  <si>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</si>
  <si>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</si>
  <si>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</si>
  <si>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</si>
  <si>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</si>
  <si>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</si>
  <si>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</si>
  <si>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</si>
  <si>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</si>
  <si>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</si>
  <si>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</si>
  <si>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</si>
  <si>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</si>
  <si>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</si>
  <si>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</si>
  <si>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</si>
  <si>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</si>
  <si>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</si>
  <si>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</si>
  <si>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</si>
  <si>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</si>
  <si>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</si>
  <si>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</si>
  <si>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</si>
  <si>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</si>
  <si>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</si>
  <si>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</si>
  <si>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</si>
  <si>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</si>
  <si>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</si>
  <si>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</si>
  <si>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</si>
  <si>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</si>
  <si>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</si>
  <si>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</si>
  <si>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</si>
  <si>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</si>
  <si>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</si>
  <si>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</si>
  <si>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</si>
  <si>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</si>
  <si>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</si>
  <si>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</si>
  <si>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</si>
  <si>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</si>
  <si>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</si>
  <si>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</si>
  <si>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</si>
  <si>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</si>
  <si>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</si>
  <si>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</si>
  <si>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</si>
  <si>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</si>
  <si>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</si>
  <si>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</si>
  <si>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</si>
  <si>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</si>
  <si>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</si>
  <si>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</si>
  <si>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</si>
  <si>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</si>
  <si>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</si>
  <si>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</si>
  <si>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</si>
  <si>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</si>
  <si>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</si>
  <si>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</si>
  <si>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</si>
  <si>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</si>
  <si>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</si>
  <si>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</si>
  <si>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</si>
  <si>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</si>
  <si>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</si>
  <si>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</si>
  <si>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</si>
  <si>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</si>
  <si>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</si>
  <si>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</si>
  <si>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</si>
  <si>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</si>
  <si>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</si>
  <si>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</si>
  <si>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</si>
  <si>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</si>
  <si>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</si>
  <si>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</si>
  <si>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</si>
  <si>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</si>
  <si>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</si>
  <si>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</si>
  <si>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</si>
  <si>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</si>
  <si>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</si>
  <si>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</si>
  <si>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</si>
  <si>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</si>
  <si>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</si>
  <si>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</si>
  <si>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</si>
  <si>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</si>
  <si>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</si>
  <si>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</si>
  <si>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</si>
  <si>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</si>
  <si>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</si>
  <si>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</si>
  <si>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</si>
  <si>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</si>
  <si>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</si>
  <si>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</si>
  <si>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</si>
  <si>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</si>
  <si>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</si>
  <si>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</si>
  <si>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</si>
  <si>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</si>
  <si>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</si>
  <si>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</si>
  <si>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</si>
  <si>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</si>
  <si>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</si>
  <si>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</si>
  <si>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</si>
  <si>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</si>
  <si>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</si>
  <si>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</si>
  <si>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</si>
  <si>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</si>
  <si>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</si>
  <si>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</si>
  <si>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</si>
  <si>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</si>
  <si>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</si>
  <si>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</si>
  <si>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</si>
  <si>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</si>
  <si>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</si>
  <si>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</si>
  <si>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</si>
  <si>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</si>
  <si>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</si>
  <si>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</si>
  <si>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</si>
  <si>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</si>
  <si>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</si>
  <si>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Stik</t>
  </si>
  <si>
    <t>Tryksatte minipumpestationer (husstandssystemer)</t>
  </si>
  <si>
    <t>Ledningsnet ≤ Ø 200 mm</t>
  </si>
  <si>
    <t>Ø 200 mm &lt; Ledningsnet ≤ Ø 500 mm</t>
  </si>
  <si>
    <t>Ø 500 mm &lt; Ledningsnet ≤ Ø 800 mm</t>
  </si>
  <si>
    <t>Brønde</t>
  </si>
  <si>
    <t>Jordbassin Klasse B</t>
  </si>
  <si>
    <t>Pumpestationer i brønde (&lt; 6,25 m2), Mek/EL</t>
  </si>
  <si>
    <t>Pumpestationer i brønde (&lt; 6,25 m2), Konstruktioner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</si>
  <si>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</si>
  <si>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</si>
  <si>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</si>
  <si>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Jordbassin Klasse A</t>
  </si>
  <si>
    <t>Indløb-/udløbsarrangement</t>
  </si>
  <si>
    <t>Forsinkelsesbassiner, lukkede uden automatisk rensning og SRO Miljøklasse B (mindre end 1.000 m3)</t>
  </si>
  <si>
    <t>Indløb med riste, Mek/EL</t>
  </si>
  <si>
    <t>Indløb med riste, SRO</t>
  </si>
  <si>
    <t>Beluftningstanke, Mek/EL</t>
  </si>
  <si>
    <t>Efterklaringstanke, Mek/El</t>
  </si>
  <si>
    <t>Efterklaringstanke, SRO</t>
  </si>
  <si>
    <t>Slutafvanding, slam - højteknologisk (centrifuger), Mek/El</t>
  </si>
  <si>
    <t>Beluftningstanke, SRO</t>
  </si>
  <si>
    <t>Pumpestationer i brønde (&lt; 6,25 m2),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</si>
  <si>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</si>
  <si>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</si>
  <si>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</si>
  <si>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</si>
  <si>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</si>
  <si>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</si>
  <si>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</si>
  <si>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</si>
  <si>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</si>
  <si>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</si>
  <si>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</si>
  <si>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</si>
  <si>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</si>
  <si>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</si>
  <si>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</si>
  <si>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</si>
  <si>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</si>
  <si>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</si>
  <si>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</si>
  <si>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</si>
  <si>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</si>
  <si>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</si>
  <si>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</si>
  <si>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</si>
  <si>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</si>
  <si>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</si>
  <si>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 xml:space="preserve">Tilbagebetaling af vejbidrag (§11, stk. 9) 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</si>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</sst>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124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100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144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191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89" t="s">
        <v>80</v>
      </c>
      <c r="C9" s="90"/>
      <c r="D9" s="90"/>
      <c r="E9" s="90"/>
      <c r="F9" s="91"/>
      <c r="G9" s="27">
        <v>542312</v>
      </c>
      <c r="H9" s="23" t="s">
        <v>4</v>
      </c>
      <c r="I9" s="2"/>
    </row>
    <row r="10" spans="1:9" x14ac:dyDescent="0.25">
      <c r="A10" s="2"/>
      <c r="B10" s="89" t="s">
        <v>81</v>
      </c>
      <c r="C10" s="90"/>
      <c r="D10" s="90"/>
      <c r="E10" s="90"/>
      <c r="F10" s="91"/>
      <c r="G10" s="27">
        <v>651000</v>
      </c>
      <c r="H10" s="23" t="s">
        <v>4</v>
      </c>
      <c r="I10" s="2"/>
    </row>
    <row r="11" spans="1:9" x14ac:dyDescent="0.25">
      <c r="A11" s="2"/>
      <c r="B11" s="99" t="s">
        <v>192</v>
      </c>
      <c r="C11" s="100"/>
      <c r="D11" s="100"/>
      <c r="E11" s="100"/>
      <c r="F11" s="101"/>
      <c r="G11" s="21">
        <f>G9-G10</f>
        <v>-108688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193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89" t="s">
        <v>82</v>
      </c>
      <c r="C15" s="90"/>
      <c r="D15" s="90"/>
      <c r="E15" s="90"/>
      <c r="F15" s="91"/>
      <c r="G15" s="27">
        <v>981094</v>
      </c>
      <c r="H15" s="23" t="s">
        <v>4</v>
      </c>
      <c r="I15" s="2"/>
    </row>
    <row r="16" spans="1:9" x14ac:dyDescent="0.25">
      <c r="A16" s="2"/>
      <c r="B16" s="89" t="s">
        <v>83</v>
      </c>
      <c r="C16" s="90"/>
      <c r="D16" s="90"/>
      <c r="E16" s="90"/>
      <c r="F16" s="91"/>
      <c r="G16" s="27">
        <v>2500000</v>
      </c>
      <c r="H16" s="23" t="s">
        <v>4</v>
      </c>
      <c r="I16" s="2"/>
    </row>
    <row r="17" spans="1:9" x14ac:dyDescent="0.25">
      <c r="A17" s="2"/>
      <c r="B17" s="99" t="s">
        <v>193</v>
      </c>
      <c r="C17" s="100"/>
      <c r="D17" s="100"/>
      <c r="E17" s="100"/>
      <c r="F17" s="101"/>
      <c r="G17" s="21">
        <f>G15-G16</f>
        <v>-1518906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194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89" t="s">
        <v>84</v>
      </c>
      <c r="C21" s="90"/>
      <c r="D21" s="90"/>
      <c r="E21" s="90"/>
      <c r="F21" s="91"/>
      <c r="G21" s="27">
        <v>38676</v>
      </c>
      <c r="H21" s="23" t="s">
        <v>4</v>
      </c>
      <c r="I21" s="2"/>
    </row>
    <row r="22" spans="1:9" x14ac:dyDescent="0.25">
      <c r="A22" s="2"/>
      <c r="B22" s="89" t="s">
        <v>85</v>
      </c>
      <c r="C22" s="90"/>
      <c r="D22" s="90"/>
      <c r="E22" s="90"/>
      <c r="F22" s="91"/>
      <c r="G22" s="27">
        <v>36000</v>
      </c>
      <c r="H22" s="23" t="s">
        <v>4</v>
      </c>
      <c r="I22" s="2"/>
    </row>
    <row r="23" spans="1:9" x14ac:dyDescent="0.25">
      <c r="A23" s="2"/>
      <c r="B23" s="99" t="s">
        <v>194</v>
      </c>
      <c r="C23" s="100"/>
      <c r="D23" s="100"/>
      <c r="E23" s="100"/>
      <c r="F23" s="101"/>
      <c r="G23" s="21">
        <f>G21-G22</f>
        <v>2676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195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86" t="s">
        <v>86</v>
      </c>
      <c r="C27" s="87"/>
      <c r="D27" s="87"/>
      <c r="E27" s="87"/>
      <c r="F27" s="88"/>
      <c r="G27" s="27">
        <v>0</v>
      </c>
      <c r="H27" s="23" t="s">
        <v>4</v>
      </c>
      <c r="I27" s="2"/>
    </row>
    <row r="28" spans="1:9" x14ac:dyDescent="0.25">
      <c r="A28" s="2"/>
      <c r="B28" s="89" t="s">
        <v>87</v>
      </c>
      <c r="C28" s="90"/>
      <c r="D28" s="90"/>
      <c r="E28" s="90"/>
      <c r="F28" s="91"/>
      <c r="G28" s="27">
        <v>0</v>
      </c>
      <c r="H28" s="23" t="s">
        <v>4</v>
      </c>
      <c r="I28" s="2"/>
    </row>
    <row r="29" spans="1:9" ht="15" customHeight="1" x14ac:dyDescent="0.25">
      <c r="A29" s="2"/>
      <c r="B29" s="104" t="s">
        <v>195</v>
      </c>
      <c r="C29" s="105"/>
      <c r="D29" s="105"/>
      <c r="E29" s="105"/>
      <c r="F29" s="106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88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89" t="s">
        <v>89</v>
      </c>
      <c r="C33" s="90"/>
      <c r="D33" s="90"/>
      <c r="E33" s="90"/>
      <c r="F33" s="91"/>
      <c r="G33" s="12">
        <f>'Fane 8. Gen. inv. i 2016'!F78</f>
        <v>699488.60333333362</v>
      </c>
      <c r="H33" s="23" t="s">
        <v>4</v>
      </c>
      <c r="I33" s="2"/>
    </row>
    <row r="34" spans="1:9" x14ac:dyDescent="0.25">
      <c r="A34" s="2"/>
      <c r="B34" s="89" t="s">
        <v>90</v>
      </c>
      <c r="C34" s="90"/>
      <c r="D34" s="90"/>
      <c r="E34" s="90"/>
      <c r="F34" s="91"/>
      <c r="G34" s="27">
        <v>749806.66666666663</v>
      </c>
      <c r="H34" s="23" t="s">
        <v>4</v>
      </c>
      <c r="I34" s="2"/>
    </row>
    <row r="35" spans="1:9" x14ac:dyDescent="0.25">
      <c r="A35" s="2"/>
      <c r="B35" s="99" t="s">
        <v>88</v>
      </c>
      <c r="C35" s="100"/>
      <c r="D35" s="100"/>
      <c r="E35" s="100"/>
      <c r="F35" s="101"/>
      <c r="G35" s="21">
        <f>G33-G34</f>
        <v>-50318.063333333004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99" t="s">
        <v>196</v>
      </c>
      <c r="C38" s="100"/>
      <c r="D38" s="100"/>
      <c r="E38" s="100"/>
      <c r="F38" s="100"/>
      <c r="G38" s="100"/>
      <c r="H38" s="101"/>
      <c r="I38" s="2"/>
    </row>
    <row r="39" spans="1:9" x14ac:dyDescent="0.25">
      <c r="A39" s="2"/>
      <c r="B39" s="89" t="s">
        <v>146</v>
      </c>
      <c r="C39" s="90"/>
      <c r="D39" s="90"/>
      <c r="E39" s="90"/>
      <c r="F39" s="91"/>
      <c r="G39" s="27">
        <v>754958</v>
      </c>
      <c r="H39" s="23" t="s">
        <v>4</v>
      </c>
      <c r="I39" s="2"/>
    </row>
    <row r="40" spans="1:9" x14ac:dyDescent="0.25">
      <c r="A40" s="2"/>
      <c r="B40" s="89" t="s">
        <v>79</v>
      </c>
      <c r="C40" s="90"/>
      <c r="D40" s="90"/>
      <c r="E40" s="90"/>
      <c r="F40" s="91"/>
      <c r="G40" s="27">
        <v>938990.18137175986</v>
      </c>
      <c r="H40" s="23" t="s">
        <v>4</v>
      </c>
      <c r="I40" s="2"/>
    </row>
    <row r="41" spans="1:9" x14ac:dyDescent="0.25">
      <c r="A41" s="2"/>
      <c r="B41" s="99" t="s">
        <v>196</v>
      </c>
      <c r="C41" s="100"/>
      <c r="D41" s="100"/>
      <c r="E41" s="100"/>
      <c r="F41" s="101"/>
      <c r="G41" s="21">
        <f>G39-G40</f>
        <v>-184032.18137175986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91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92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96" t="s">
        <v>93</v>
      </c>
      <c r="C9" s="97"/>
      <c r="D9" s="97"/>
      <c r="E9" s="97"/>
      <c r="F9" s="98"/>
      <c r="G9" s="26">
        <v>56703197.564538233</v>
      </c>
      <c r="H9" s="38" t="s">
        <v>4</v>
      </c>
      <c r="I9" s="2"/>
    </row>
    <row r="10" spans="1:9" x14ac:dyDescent="0.25">
      <c r="A10" s="2"/>
      <c r="B10" s="99" t="s">
        <v>94</v>
      </c>
      <c r="C10" s="100"/>
      <c r="D10" s="100"/>
      <c r="E10" s="100"/>
      <c r="F10" s="100"/>
      <c r="G10" s="100"/>
      <c r="H10" s="101"/>
      <c r="I10" s="2"/>
    </row>
    <row r="11" spans="1:9" x14ac:dyDescent="0.25">
      <c r="A11" s="2"/>
      <c r="B11" s="89" t="s">
        <v>19</v>
      </c>
      <c r="C11" s="90"/>
      <c r="D11" s="91"/>
      <c r="E11" s="27">
        <v>27543575</v>
      </c>
      <c r="F11" s="23" t="s">
        <v>4</v>
      </c>
      <c r="G11" s="20"/>
      <c r="H11" s="42"/>
      <c r="I11" s="2"/>
    </row>
    <row r="12" spans="1:9" x14ac:dyDescent="0.25">
      <c r="A12" s="2"/>
      <c r="B12" s="89" t="s">
        <v>95</v>
      </c>
      <c r="C12" s="90"/>
      <c r="D12" s="91"/>
      <c r="E12" s="27">
        <v>4774935.3500781097</v>
      </c>
      <c r="F12" s="23" t="s">
        <v>4</v>
      </c>
      <c r="G12" s="15"/>
      <c r="H12" s="43"/>
      <c r="I12" s="2"/>
    </row>
    <row r="13" spans="1:9" x14ac:dyDescent="0.25">
      <c r="A13" s="2"/>
      <c r="B13" s="89" t="s">
        <v>96</v>
      </c>
      <c r="C13" s="90"/>
      <c r="D13" s="91"/>
      <c r="E13" s="27">
        <v>370060.75806666538</v>
      </c>
      <c r="F13" s="23" t="s">
        <v>4</v>
      </c>
      <c r="G13" s="15"/>
      <c r="H13" s="43"/>
      <c r="I13" s="2"/>
    </row>
    <row r="14" spans="1:9" x14ac:dyDescent="0.25">
      <c r="A14" s="2"/>
      <c r="B14" s="89" t="s">
        <v>97</v>
      </c>
      <c r="C14" s="90"/>
      <c r="D14" s="91"/>
      <c r="E14" s="27">
        <v>1693367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34381938.108144775</v>
      </c>
      <c r="F15" s="38" t="s">
        <v>4</v>
      </c>
      <c r="G15" s="15"/>
      <c r="H15" s="43"/>
      <c r="I15" s="2"/>
    </row>
    <row r="16" spans="1:9" x14ac:dyDescent="0.25">
      <c r="A16" s="2"/>
      <c r="B16" s="89" t="s">
        <v>21</v>
      </c>
      <c r="C16" s="90"/>
      <c r="D16" s="91"/>
      <c r="E16" s="27">
        <v>559564</v>
      </c>
      <c r="F16" s="23" t="s">
        <v>4</v>
      </c>
      <c r="G16" s="15"/>
      <c r="H16" s="43"/>
      <c r="I16" s="2"/>
    </row>
    <row r="17" spans="1:9" x14ac:dyDescent="0.25">
      <c r="A17" s="2"/>
      <c r="B17" s="89" t="s">
        <v>22</v>
      </c>
      <c r="C17" s="90"/>
      <c r="D17" s="91"/>
      <c r="E17" s="27">
        <v>300000</v>
      </c>
      <c r="F17" s="23" t="s">
        <v>4</v>
      </c>
      <c r="G17" s="15"/>
      <c r="H17" s="43"/>
      <c r="I17" s="2"/>
    </row>
    <row r="18" spans="1:9" x14ac:dyDescent="0.25">
      <c r="A18" s="2"/>
      <c r="B18" s="89" t="s">
        <v>23</v>
      </c>
      <c r="C18" s="90"/>
      <c r="D18" s="91"/>
      <c r="E18" s="27">
        <v>1811792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2671356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6" t="s">
        <v>25</v>
      </c>
      <c r="C20" s="87"/>
      <c r="D20" s="88"/>
      <c r="E20" s="27">
        <v>-3911333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6" t="s">
        <v>26</v>
      </c>
      <c r="C21" s="87"/>
      <c r="D21" s="88"/>
      <c r="E21" s="27">
        <v>-31346109</v>
      </c>
      <c r="F21" s="23" t="s">
        <v>4</v>
      </c>
      <c r="G21" s="15"/>
      <c r="H21" s="43"/>
      <c r="I21" s="2"/>
    </row>
    <row r="22" spans="1:9" x14ac:dyDescent="0.25">
      <c r="A22" s="2"/>
      <c r="B22" s="89" t="s">
        <v>27</v>
      </c>
      <c r="C22" s="90"/>
      <c r="D22" s="91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89" t="s">
        <v>28</v>
      </c>
      <c r="C23" s="90"/>
      <c r="D23" s="91"/>
      <c r="E23" s="27">
        <v>-16313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6" t="s">
        <v>29</v>
      </c>
      <c r="C24" s="87"/>
      <c r="D24" s="88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6" t="s">
        <v>30</v>
      </c>
      <c r="C25" s="87"/>
      <c r="D25" s="88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6" t="s">
        <v>31</v>
      </c>
      <c r="C26" s="87"/>
      <c r="D26" s="88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-35273755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1779539.108144775</v>
      </c>
      <c r="F28" s="38" t="s">
        <v>4</v>
      </c>
      <c r="G28" s="1">
        <f>IF(E28&lt;0,0,-E28)</f>
        <v>-1779539.108144775</v>
      </c>
      <c r="H28" s="38" t="s">
        <v>4</v>
      </c>
      <c r="I28" s="2"/>
    </row>
    <row r="29" spans="1:9" x14ac:dyDescent="0.25">
      <c r="A29" s="2"/>
      <c r="B29" s="99" t="s">
        <v>98</v>
      </c>
      <c r="C29" s="100"/>
      <c r="D29" s="100"/>
      <c r="E29" s="100"/>
      <c r="F29" s="100"/>
      <c r="G29" s="100"/>
      <c r="H29" s="101"/>
      <c r="I29" s="2"/>
    </row>
    <row r="30" spans="1:9" x14ac:dyDescent="0.25">
      <c r="A30" s="2"/>
      <c r="B30" s="96" t="s">
        <v>98</v>
      </c>
      <c r="C30" s="97"/>
      <c r="D30" s="98"/>
      <c r="E30" s="26">
        <v>2636529</v>
      </c>
      <c r="F30" s="38" t="s">
        <v>4</v>
      </c>
      <c r="G30" s="18">
        <f>-$E$30</f>
        <v>-2636529</v>
      </c>
      <c r="H30" s="38" t="s">
        <v>4</v>
      </c>
      <c r="I30" s="2"/>
    </row>
    <row r="31" spans="1:9" x14ac:dyDescent="0.25">
      <c r="A31" s="2"/>
      <c r="B31" s="117" t="s">
        <v>57</v>
      </c>
      <c r="C31" s="100"/>
      <c r="D31" s="100"/>
      <c r="E31" s="100"/>
      <c r="F31" s="100"/>
      <c r="G31" s="100"/>
      <c r="H31" s="101"/>
      <c r="I31" s="2"/>
    </row>
    <row r="32" spans="1:9" ht="30" customHeight="1" x14ac:dyDescent="0.25">
      <c r="A32" s="2"/>
      <c r="B32" s="86" t="s">
        <v>58</v>
      </c>
      <c r="C32" s="87"/>
      <c r="D32" s="88"/>
      <c r="E32" s="27">
        <v>44767985</v>
      </c>
      <c r="F32" s="23" t="s">
        <v>4</v>
      </c>
      <c r="G32" s="20"/>
      <c r="H32" s="42"/>
      <c r="I32" s="2"/>
    </row>
    <row r="33" spans="1:9" x14ac:dyDescent="0.25">
      <c r="A33" s="2"/>
      <c r="B33" s="89" t="s">
        <v>34</v>
      </c>
      <c r="C33" s="90"/>
      <c r="D33" s="91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6" t="s">
        <v>35</v>
      </c>
      <c r="C34" s="87"/>
      <c r="D34" s="88"/>
      <c r="E34" s="27">
        <v>3416939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48184924</v>
      </c>
      <c r="F35" s="38" t="s">
        <v>4</v>
      </c>
      <c r="G35" s="18">
        <f>-E35</f>
        <v>-48184924</v>
      </c>
      <c r="H35" s="38" t="s">
        <v>4</v>
      </c>
      <c r="I35" s="2"/>
    </row>
    <row r="36" spans="1:9" x14ac:dyDescent="0.25">
      <c r="A36" s="2"/>
      <c r="B36" s="99" t="s">
        <v>99</v>
      </c>
      <c r="C36" s="100"/>
      <c r="D36" s="100"/>
      <c r="E36" s="100"/>
      <c r="F36" s="101"/>
      <c r="G36" s="21">
        <f>$G$9+$G$28+$G$30+$G$35</f>
        <v>4102205.4563934579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128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188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92" t="s">
        <v>118</v>
      </c>
      <c r="C9" s="94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118" t="s">
        <v>189</v>
      </c>
      <c r="C10" s="119"/>
      <c r="D10" s="48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135</v>
      </c>
      <c r="C11" s="100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9" t="s">
        <v>148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9" t="s">
        <v>184</v>
      </c>
      <c r="C15" s="100"/>
      <c r="D15" s="100"/>
      <c r="E15" s="100"/>
      <c r="F15" s="100"/>
      <c r="G15" s="101"/>
      <c r="H15" s="2"/>
    </row>
    <row r="16" spans="1:8" ht="15" customHeight="1" x14ac:dyDescent="0.25">
      <c r="A16" s="2"/>
      <c r="B16" s="92" t="s">
        <v>202</v>
      </c>
      <c r="C16" s="93"/>
      <c r="D16" s="93"/>
      <c r="E16" s="94"/>
      <c r="F16" s="116" t="s">
        <v>185</v>
      </c>
      <c r="G16" s="116"/>
      <c r="H16" s="2"/>
    </row>
    <row r="17" spans="1:8" x14ac:dyDescent="0.25">
      <c r="A17" s="2"/>
      <c r="B17" s="89" t="s">
        <v>198</v>
      </c>
      <c r="C17" s="90"/>
      <c r="D17" s="90"/>
      <c r="E17" s="91"/>
      <c r="F17" s="27">
        <v>639876</v>
      </c>
      <c r="G17" s="23" t="s">
        <v>4</v>
      </c>
      <c r="H17" s="2"/>
    </row>
    <row r="18" spans="1:8" x14ac:dyDescent="0.25">
      <c r="A18" s="2"/>
      <c r="B18" s="99" t="s">
        <v>186</v>
      </c>
      <c r="C18" s="100"/>
      <c r="D18" s="100"/>
      <c r="E18" s="101"/>
      <c r="F18" s="21">
        <f>SUM(F17:F17)</f>
        <v>639876</v>
      </c>
      <c r="G18" s="22" t="s">
        <v>4</v>
      </c>
      <c r="H18" s="2"/>
    </row>
    <row r="19" spans="1:8" x14ac:dyDescent="0.25">
      <c r="A19" s="2"/>
      <c r="B19" s="99" t="s">
        <v>187</v>
      </c>
      <c r="C19" s="100"/>
      <c r="D19" s="100"/>
      <c r="E19" s="101"/>
      <c r="F19" s="21">
        <f>F18*(1+'Fane 2.1. Økonomisk ramme 2018'!E19/100)</f>
        <v>651073.83000000007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120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119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45" t="s">
        <v>121</v>
      </c>
      <c r="C9" s="46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35" t="s">
        <v>197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130</v>
      </c>
      <c r="C11" s="101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9" t="s">
        <v>147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ht="15" customHeight="1" x14ac:dyDescent="0.25">
      <c r="A9" s="2"/>
      <c r="B9" s="86" t="s">
        <v>60</v>
      </c>
      <c r="C9" s="87"/>
      <c r="D9" s="88"/>
      <c r="E9" s="8">
        <f>'Fane 3. Korrigeret grundlag'!G12</f>
        <v>51409011.212046824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90"/>
      <c r="D10" s="91"/>
      <c r="E10" s="12">
        <f>'Fane 3. Korrigeret grundlag'!G11</f>
        <v>634936.98419683997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123</v>
      </c>
      <c r="C11" s="90"/>
      <c r="D11" s="91"/>
      <c r="E11" s="12">
        <f>'Fane 4. Ikke-påvirkelige omk.'!G19</f>
        <v>-144141.501361</v>
      </c>
      <c r="F11" s="9" t="s">
        <v>4</v>
      </c>
      <c r="G11" s="13"/>
      <c r="H11" s="14"/>
      <c r="I11" s="2"/>
    </row>
    <row r="12" spans="1:9" x14ac:dyDescent="0.25">
      <c r="A12" s="2"/>
      <c r="B12" s="54" t="s">
        <v>200</v>
      </c>
      <c r="C12" s="52"/>
      <c r="D12" s="53"/>
      <c r="E12" s="12">
        <f>'Fane 5. Individuelt eff.krav'!G10</f>
        <v>-804910.8907969204</v>
      </c>
      <c r="F12" s="9" t="s">
        <v>4</v>
      </c>
      <c r="G12" s="13"/>
      <c r="H12" s="14"/>
      <c r="I12" s="2"/>
    </row>
    <row r="13" spans="1:9" x14ac:dyDescent="0.25">
      <c r="A13" s="2"/>
      <c r="B13" s="95" t="s">
        <v>180</v>
      </c>
      <c r="C13" s="102"/>
      <c r="D13" s="103"/>
      <c r="E13" s="12">
        <f>'Fane 3. Korrigeret grundlag'!G22</f>
        <v>1161954</v>
      </c>
      <c r="F13" s="9" t="s">
        <v>4</v>
      </c>
      <c r="G13" s="13"/>
      <c r="H13" s="14"/>
      <c r="I13" s="2"/>
    </row>
    <row r="14" spans="1:9" x14ac:dyDescent="0.25">
      <c r="A14" s="2"/>
      <c r="B14" s="86" t="s">
        <v>131</v>
      </c>
      <c r="C14" s="87"/>
      <c r="D14" s="88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6" t="s">
        <v>132</v>
      </c>
      <c r="C15" s="87"/>
      <c r="D15" s="88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86" t="s">
        <v>184</v>
      </c>
      <c r="C16" s="87"/>
      <c r="D16" s="88"/>
      <c r="E16" s="12">
        <f>'Fane 11. Tillæg'!F19</f>
        <v>651073.83000000007</v>
      </c>
      <c r="F16" s="9" t="s">
        <v>4</v>
      </c>
      <c r="G16" s="13"/>
      <c r="H16" s="14"/>
      <c r="I16" s="2"/>
    </row>
    <row r="17" spans="1:9" x14ac:dyDescent="0.25">
      <c r="A17" s="2"/>
      <c r="B17" s="86" t="s">
        <v>133</v>
      </c>
      <c r="C17" s="87"/>
      <c r="D17" s="88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86" t="s">
        <v>134</v>
      </c>
      <c r="C18" s="87"/>
      <c r="D18" s="88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126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95" t="s">
        <v>125</v>
      </c>
      <c r="C20" s="90"/>
      <c r="D20" s="91"/>
      <c r="E20" s="12">
        <f>SUM(E9,E11:E18)*(E19/100)</f>
        <v>914777.26637305587</v>
      </c>
      <c r="F20" s="9" t="s">
        <v>4</v>
      </c>
      <c r="G20" s="13"/>
      <c r="H20" s="14"/>
      <c r="I20" s="2"/>
    </row>
    <row r="21" spans="1:9" x14ac:dyDescent="0.25">
      <c r="A21" s="2"/>
      <c r="B21" s="89" t="s">
        <v>15</v>
      </c>
      <c r="C21" s="90"/>
      <c r="D21" s="91"/>
      <c r="E21" s="12">
        <f>'Fane 5. Individuelt eff.krav'!G12</f>
        <v>412569.74541778612</v>
      </c>
      <c r="F21" s="9" t="s">
        <v>4</v>
      </c>
      <c r="G21" s="15"/>
      <c r="H21" s="14"/>
      <c r="I21" s="2"/>
    </row>
    <row r="22" spans="1:9" x14ac:dyDescent="0.25">
      <c r="A22" s="2"/>
      <c r="B22" s="89" t="s">
        <v>16</v>
      </c>
      <c r="C22" s="90"/>
      <c r="D22" s="91"/>
      <c r="E22" s="12">
        <f>'Fane 6. Generelt eff.krav'!G17</f>
        <v>956611.31909939134</v>
      </c>
      <c r="F22" s="9" t="s">
        <v>4</v>
      </c>
      <c r="G22" s="16"/>
      <c r="H22" s="17"/>
      <c r="I22" s="2"/>
    </row>
    <row r="23" spans="1:9" x14ac:dyDescent="0.25">
      <c r="A23" s="2"/>
      <c r="B23" s="96" t="s">
        <v>190</v>
      </c>
      <c r="C23" s="97"/>
      <c r="D23" s="98"/>
      <c r="E23" s="18">
        <f>SUM(E9,E11:E18,E20)-SUM(E21:E22)</f>
        <v>51818582.851744778</v>
      </c>
      <c r="F23" s="19" t="s">
        <v>4</v>
      </c>
      <c r="G23" s="18">
        <f>E23</f>
        <v>51818582.851744778</v>
      </c>
      <c r="H23" s="19" t="s">
        <v>4</v>
      </c>
      <c r="I23" s="2"/>
    </row>
    <row r="24" spans="1:9" x14ac:dyDescent="0.25">
      <c r="A24" s="2"/>
      <c r="B24" s="99" t="s">
        <v>17</v>
      </c>
      <c r="C24" s="100"/>
      <c r="D24" s="100"/>
      <c r="E24" s="100"/>
      <c r="F24" s="100"/>
      <c r="G24" s="100"/>
      <c r="H24" s="101"/>
      <c r="I24" s="2"/>
    </row>
    <row r="25" spans="1:9" x14ac:dyDescent="0.25">
      <c r="A25" s="2"/>
      <c r="B25" s="92" t="s">
        <v>55</v>
      </c>
      <c r="C25" s="93"/>
      <c r="D25" s="94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99" t="s">
        <v>100</v>
      </c>
      <c r="C26" s="100"/>
      <c r="D26" s="100"/>
      <c r="E26" s="100"/>
      <c r="F26" s="100"/>
      <c r="G26" s="100"/>
      <c r="H26" s="101"/>
      <c r="I26" s="2"/>
    </row>
    <row r="27" spans="1:9" x14ac:dyDescent="0.25">
      <c r="A27" s="2"/>
      <c r="B27" s="86" t="s">
        <v>107</v>
      </c>
      <c r="C27" s="87"/>
      <c r="D27" s="88"/>
      <c r="E27" s="12">
        <f>'Fane 9. Korrektion af PL2016'!G11</f>
        <v>-108688</v>
      </c>
      <c r="F27" s="9" t="s">
        <v>4</v>
      </c>
      <c r="G27" s="20"/>
      <c r="H27" s="11"/>
      <c r="I27" s="2"/>
    </row>
    <row r="28" spans="1:9" x14ac:dyDescent="0.25">
      <c r="A28" s="2"/>
      <c r="B28" s="86" t="s">
        <v>101</v>
      </c>
      <c r="C28" s="87"/>
      <c r="D28" s="88"/>
      <c r="E28" s="12">
        <f>'Fane 9. Korrektion af PL2016'!G17</f>
        <v>-1518906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86" t="s">
        <v>102</v>
      </c>
      <c r="C29" s="87"/>
      <c r="D29" s="88"/>
      <c r="E29" s="12">
        <f>'Fane 9. Korrektion af PL2016'!G23</f>
        <v>2676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86" t="s">
        <v>103</v>
      </c>
      <c r="C30" s="87"/>
      <c r="D30" s="88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86" t="s">
        <v>104</v>
      </c>
      <c r="C31" s="87"/>
      <c r="D31" s="88"/>
      <c r="E31" s="12">
        <f>'Fane 9. Korrektion af PL2016'!G35</f>
        <v>-50318.063333333004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86" t="s">
        <v>78</v>
      </c>
      <c r="C32" s="87"/>
      <c r="D32" s="88"/>
      <c r="E32" s="12">
        <f>'Fane 9. Korrektion af PL2016'!G41</f>
        <v>-184032.18137175986</v>
      </c>
      <c r="F32" s="9" t="s">
        <v>4</v>
      </c>
      <c r="G32" s="16"/>
      <c r="H32" s="17"/>
      <c r="I32" s="2"/>
    </row>
    <row r="33" spans="1:9" x14ac:dyDescent="0.25">
      <c r="A33" s="2"/>
      <c r="B33" s="92" t="s">
        <v>105</v>
      </c>
      <c r="C33" s="93"/>
      <c r="D33" s="94"/>
      <c r="E33" s="18">
        <f>SUM(E27:E32)</f>
        <v>-1859268.2447050929</v>
      </c>
      <c r="F33" s="19" t="s">
        <v>4</v>
      </c>
      <c r="G33" s="18">
        <f>E33</f>
        <v>-1859268.2447050929</v>
      </c>
      <c r="H33" s="19" t="s">
        <v>4</v>
      </c>
      <c r="I33" s="2"/>
    </row>
    <row r="34" spans="1:9" x14ac:dyDescent="0.25">
      <c r="A34" s="2"/>
      <c r="B34" s="99" t="s">
        <v>18</v>
      </c>
      <c r="C34" s="100"/>
      <c r="D34" s="100"/>
      <c r="E34" s="100"/>
      <c r="F34" s="100"/>
      <c r="G34" s="100"/>
      <c r="H34" s="101"/>
      <c r="I34" s="2"/>
    </row>
    <row r="35" spans="1:9" x14ac:dyDescent="0.25">
      <c r="A35" s="2"/>
      <c r="B35" s="92" t="s">
        <v>106</v>
      </c>
      <c r="C35" s="93"/>
      <c r="D35" s="94"/>
      <c r="E35" s="18">
        <f>'Fane 10. Kontrol af PL2016'!G36</f>
        <v>4102205.4563934579</v>
      </c>
      <c r="F35" s="19" t="s">
        <v>4</v>
      </c>
      <c r="G35" s="18">
        <f>E35</f>
        <v>4102205.4563934579</v>
      </c>
      <c r="H35" s="19" t="s">
        <v>4</v>
      </c>
      <c r="I35" s="2"/>
    </row>
    <row r="36" spans="1:9" x14ac:dyDescent="0.25">
      <c r="A36" s="2"/>
      <c r="B36" s="99" t="s">
        <v>62</v>
      </c>
      <c r="C36" s="100"/>
      <c r="D36" s="100"/>
      <c r="E36" s="100"/>
      <c r="F36" s="101"/>
      <c r="G36" s="21">
        <f>G23+G25+G33+G35</f>
        <v>54061520.063433141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110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108</v>
      </c>
      <c r="C9" s="87"/>
      <c r="D9" s="88"/>
      <c r="E9" s="8">
        <f>'Fane 2.1. Økonomisk ramme 2018'!G23-'Fane 2.1. Økonomisk ramme 2018'!E13*(1+0.0175)*(1-0.02-'Fane 5. Individuelt eff.krav'!G11/100)</f>
        <v>50669316.062933348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2018'!E10:E11,'Fane 2.1. Økonomisk ramme 2018'!E16))*(1+'Fane 2.1. Økonomisk ramme 2018'!E19/100)</f>
        <v>1161852.0258104673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180</v>
      </c>
      <c r="C11" s="59"/>
      <c r="D11" s="60"/>
      <c r="E11" s="12">
        <v>1165010</v>
      </c>
      <c r="F11" s="9" t="s">
        <v>4</v>
      </c>
      <c r="G11" s="13"/>
      <c r="H11" s="14"/>
      <c r="I11" s="2"/>
    </row>
    <row r="12" spans="1:9" x14ac:dyDescent="0.25">
      <c r="A12" s="2"/>
      <c r="B12" s="89" t="s">
        <v>61</v>
      </c>
      <c r="C12" s="90"/>
      <c r="D12" s="91"/>
      <c r="E12" s="12">
        <f>($E$9+E11)*'Fane 2.1. Økonomisk ramme 2018'!E19/100</f>
        <v>907100.70610133361</v>
      </c>
      <c r="F12" s="9" t="s">
        <v>4</v>
      </c>
      <c r="G12" s="15"/>
      <c r="H12" s="14"/>
      <c r="I12" s="2"/>
    </row>
    <row r="13" spans="1:9" x14ac:dyDescent="0.25">
      <c r="A13" s="2"/>
      <c r="B13" s="89" t="s">
        <v>15</v>
      </c>
      <c r="C13" s="90"/>
      <c r="D13" s="91"/>
      <c r="E13" s="12">
        <f>($E$9+E11-$E$10)*(1+'Fane 2.1. Økonomisk ramme 2018'!E19/100)*'Fane 5. Individuelt eff.krav'!$G$11/100</f>
        <v>408869.01757641271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979168.97722975886</v>
      </c>
      <c r="F14" s="9" t="s">
        <v>4</v>
      </c>
      <c r="G14" s="16"/>
      <c r="H14" s="17"/>
      <c r="I14" s="2"/>
    </row>
    <row r="15" spans="1:9" x14ac:dyDescent="0.25">
      <c r="A15" s="2"/>
      <c r="B15" s="96" t="s">
        <v>190</v>
      </c>
      <c r="C15" s="97"/>
      <c r="D15" s="98"/>
      <c r="E15" s="18">
        <f>$E$9+$E$12-$E$13-$E$14+E11</f>
        <v>51353388.774228513</v>
      </c>
      <c r="F15" s="19" t="s">
        <v>4</v>
      </c>
      <c r="G15" s="18">
        <f>E15</f>
        <v>51353388.774228513</v>
      </c>
      <c r="H15" s="19" t="s">
        <v>4</v>
      </c>
      <c r="I15" s="2"/>
    </row>
    <row r="16" spans="1:9" x14ac:dyDescent="0.25">
      <c r="A16" s="2"/>
      <c r="B16" s="99" t="s">
        <v>17</v>
      </c>
      <c r="C16" s="100"/>
      <c r="D16" s="100"/>
      <c r="E16" s="100"/>
      <c r="F16" s="100"/>
      <c r="G16" s="100"/>
      <c r="H16" s="101"/>
      <c r="I16" s="2"/>
    </row>
    <row r="17" spans="1:9" ht="15" customHeight="1" x14ac:dyDescent="0.25">
      <c r="A17" s="2"/>
      <c r="B17" s="92" t="s">
        <v>55</v>
      </c>
      <c r="C17" s="93"/>
      <c r="D17" s="94"/>
      <c r="E17" s="18">
        <f>IF('Fane 7. Hist. over el. underdæk'!$G$12&gt;1,'Fane 7. Hist. over el. underdæk'!$G$13,0)</f>
        <v>0</v>
      </c>
      <c r="F17" s="19" t="s">
        <v>4</v>
      </c>
      <c r="G17" s="18">
        <f>E17</f>
        <v>0</v>
      </c>
      <c r="H17" s="19" t="s">
        <v>4</v>
      </c>
      <c r="I17" s="2"/>
    </row>
    <row r="18" spans="1:9" x14ac:dyDescent="0.25">
      <c r="A18" s="2"/>
      <c r="B18" s="99" t="s">
        <v>109</v>
      </c>
      <c r="C18" s="100"/>
      <c r="D18" s="100"/>
      <c r="E18" s="100"/>
      <c r="F18" s="101"/>
      <c r="G18" s="21">
        <f>G15+G17</f>
        <v>51353388.774228513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141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143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112</v>
      </c>
      <c r="C9" s="90"/>
      <c r="D9" s="90"/>
      <c r="E9" s="90"/>
      <c r="F9" s="91"/>
      <c r="G9" s="27">
        <v>13036459.334072666</v>
      </c>
      <c r="H9" s="23" t="s">
        <v>4</v>
      </c>
      <c r="I9" s="2"/>
    </row>
    <row r="10" spans="1:9" x14ac:dyDescent="0.25">
      <c r="A10" s="2"/>
      <c r="B10" s="89" t="s">
        <v>113</v>
      </c>
      <c r="C10" s="90"/>
      <c r="D10" s="90"/>
      <c r="E10" s="90"/>
      <c r="F10" s="91"/>
      <c r="G10" s="27">
        <v>37737614.893777318</v>
      </c>
      <c r="H10" s="23" t="s">
        <v>4</v>
      </c>
      <c r="I10" s="2"/>
    </row>
    <row r="11" spans="1:9" x14ac:dyDescent="0.25">
      <c r="A11" s="2"/>
      <c r="B11" s="89" t="s">
        <v>140</v>
      </c>
      <c r="C11" s="90"/>
      <c r="D11" s="90"/>
      <c r="E11" s="90"/>
      <c r="F11" s="91"/>
      <c r="G11" s="27">
        <v>634936.98419683997</v>
      </c>
      <c r="H11" s="23" t="s">
        <v>4</v>
      </c>
      <c r="I11" s="2"/>
    </row>
    <row r="12" spans="1:9" ht="17.25" customHeight="1" x14ac:dyDescent="0.25">
      <c r="A12" s="2"/>
      <c r="B12" s="104" t="s">
        <v>145</v>
      </c>
      <c r="C12" s="105"/>
      <c r="D12" s="105"/>
      <c r="E12" s="105"/>
      <c r="F12" s="106"/>
      <c r="G12" s="21">
        <f>SUM(G9:G11)</f>
        <v>51409011.212046824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99" t="s">
        <v>180</v>
      </c>
      <c r="C19" s="100"/>
      <c r="D19" s="100"/>
      <c r="E19" s="100"/>
      <c r="F19" s="100"/>
      <c r="G19" s="100"/>
      <c r="H19" s="101"/>
      <c r="I19" s="2"/>
    </row>
    <row r="20" spans="1:9" x14ac:dyDescent="0.25">
      <c r="A20" s="2"/>
      <c r="B20" s="89" t="s">
        <v>181</v>
      </c>
      <c r="C20" s="90"/>
      <c r="D20" s="90"/>
      <c r="E20" s="90"/>
      <c r="F20" s="91"/>
      <c r="G20" s="27">
        <v>1161954</v>
      </c>
      <c r="H20" s="23" t="s">
        <v>4</v>
      </c>
      <c r="I20" s="2"/>
    </row>
    <row r="21" spans="1:9" x14ac:dyDescent="0.25">
      <c r="A21" s="2"/>
      <c r="B21" s="89" t="s">
        <v>182</v>
      </c>
      <c r="C21" s="90"/>
      <c r="D21" s="90"/>
      <c r="E21" s="90"/>
      <c r="F21" s="91"/>
      <c r="G21" s="27">
        <v>0</v>
      </c>
      <c r="H21" s="23" t="s">
        <v>4</v>
      </c>
      <c r="I21" s="2"/>
    </row>
    <row r="22" spans="1:9" x14ac:dyDescent="0.25">
      <c r="A22" s="2"/>
      <c r="B22" s="104" t="s">
        <v>183</v>
      </c>
      <c r="C22" s="105"/>
      <c r="D22" s="105"/>
      <c r="E22" s="105"/>
      <c r="F22" s="106"/>
      <c r="G22" s="21">
        <f>SUM(G20:G21)</f>
        <v>1161954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114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115</v>
      </c>
      <c r="C8" s="100"/>
      <c r="D8" s="100"/>
      <c r="E8" s="100"/>
      <c r="F8" s="100"/>
      <c r="G8" s="100"/>
      <c r="H8" s="101"/>
      <c r="I8" s="2"/>
    </row>
    <row r="9" spans="1:9" ht="51.75" customHeight="1" x14ac:dyDescent="0.25">
      <c r="A9" s="2"/>
      <c r="B9" s="92" t="s">
        <v>117</v>
      </c>
      <c r="C9" s="93"/>
      <c r="D9" s="94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08" t="s">
        <v>172</v>
      </c>
      <c r="C10" s="109"/>
      <c r="D10" s="109"/>
      <c r="E10" s="49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173</v>
      </c>
      <c r="C11" s="109"/>
      <c r="D11" s="109"/>
      <c r="E11" s="49">
        <v>122875.2928</v>
      </c>
      <c r="F11" s="23" t="s">
        <v>4</v>
      </c>
      <c r="G11" s="27">
        <v>58443</v>
      </c>
      <c r="H11" s="23" t="s">
        <v>4</v>
      </c>
      <c r="I11" s="2"/>
    </row>
    <row r="12" spans="1:9" x14ac:dyDescent="0.25">
      <c r="A12" s="2"/>
      <c r="B12" s="108" t="s">
        <v>174</v>
      </c>
      <c r="C12" s="109"/>
      <c r="D12" s="109"/>
      <c r="E12" s="49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8" t="s">
        <v>175</v>
      </c>
      <c r="C13" s="109"/>
      <c r="D13" s="109"/>
      <c r="E13" s="49">
        <v>32399.4126</v>
      </c>
      <c r="F13" s="23" t="s">
        <v>4</v>
      </c>
      <c r="G13" s="27">
        <v>36337</v>
      </c>
      <c r="H13" s="23" t="s">
        <v>4</v>
      </c>
      <c r="I13" s="2"/>
    </row>
    <row r="14" spans="1:9" x14ac:dyDescent="0.25">
      <c r="A14" s="2"/>
      <c r="B14" s="108" t="s">
        <v>176</v>
      </c>
      <c r="C14" s="109"/>
      <c r="D14" s="109"/>
      <c r="E14" s="49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177</v>
      </c>
      <c r="C15" s="109"/>
      <c r="D15" s="109"/>
      <c r="E15" s="49">
        <v>442852.74040000001</v>
      </c>
      <c r="F15" s="23" t="s">
        <v>4</v>
      </c>
      <c r="G15" s="27">
        <v>360419</v>
      </c>
      <c r="H15" s="23" t="s">
        <v>4</v>
      </c>
      <c r="I15" s="2"/>
    </row>
    <row r="16" spans="1:9" x14ac:dyDescent="0.25">
      <c r="A16" s="2"/>
      <c r="B16" s="108" t="s">
        <v>178</v>
      </c>
      <c r="C16" s="109"/>
      <c r="D16" s="109"/>
      <c r="E16" s="49">
        <v>28846.963400000001</v>
      </c>
      <c r="F16" s="23" t="s">
        <v>4</v>
      </c>
      <c r="G16" s="27">
        <v>30113</v>
      </c>
      <c r="H16" s="23" t="s">
        <v>4</v>
      </c>
      <c r="I16" s="2"/>
    </row>
    <row r="17" spans="1:9" x14ac:dyDescent="0.25">
      <c r="A17" s="2"/>
      <c r="B17" s="108" t="s">
        <v>179</v>
      </c>
      <c r="C17" s="109"/>
      <c r="D17" s="109"/>
      <c r="E17" s="49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9" t="s">
        <v>136</v>
      </c>
      <c r="C18" s="100"/>
      <c r="D18" s="100"/>
      <c r="E18" s="100"/>
      <c r="F18" s="101"/>
      <c r="G18" s="21">
        <f>SUM(G10:G17)-SUM(E10:E17)</f>
        <v>-141662.40919999999</v>
      </c>
      <c r="H18" s="22" t="s">
        <v>4</v>
      </c>
      <c r="I18" s="2"/>
    </row>
    <row r="19" spans="1:9" x14ac:dyDescent="0.25">
      <c r="A19" s="2"/>
      <c r="B19" s="99" t="s">
        <v>137</v>
      </c>
      <c r="C19" s="100"/>
      <c r="D19" s="100"/>
      <c r="E19" s="100"/>
      <c r="F19" s="101"/>
      <c r="G19" s="21">
        <f>G18*(1+'Fane 2.1. Økonomisk ramme 2018'!E19/100)</f>
        <v>-144141.501361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15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51</v>
      </c>
      <c r="C9" s="90"/>
      <c r="D9" s="90"/>
      <c r="E9" s="90"/>
      <c r="F9" s="91"/>
      <c r="G9" s="12">
        <f>'Fane 3. Korrigeret grundlag'!G12-'Fane 3. Korrigeret grundlag'!G11+SUM('Fane 2.1. Økonomisk ramme 2018'!E13:E15,'Fane 2.1. Økonomisk ramme 2018'!E17:E18)</f>
        <v>51936028.227849983</v>
      </c>
      <c r="H9" s="23" t="s">
        <v>4</v>
      </c>
      <c r="I9" s="2"/>
    </row>
    <row r="10" spans="1:9" x14ac:dyDescent="0.25">
      <c r="A10" s="2"/>
      <c r="B10" s="51" t="s">
        <v>200</v>
      </c>
      <c r="C10" s="52"/>
      <c r="D10" s="52"/>
      <c r="E10" s="52"/>
      <c r="F10" s="53"/>
      <c r="G10" s="12">
        <v>-804910.8907969204</v>
      </c>
      <c r="H10" s="23" t="s">
        <v>4</v>
      </c>
      <c r="I10" s="2"/>
    </row>
    <row r="11" spans="1:9" x14ac:dyDescent="0.25">
      <c r="A11" s="2"/>
      <c r="B11" s="89" t="s">
        <v>37</v>
      </c>
      <c r="C11" s="90"/>
      <c r="D11" s="90"/>
      <c r="E11" s="90"/>
      <c r="F11" s="91"/>
      <c r="G11" s="29">
        <v>0.79300819615908857</v>
      </c>
      <c r="H11" s="23" t="s">
        <v>38</v>
      </c>
      <c r="I11" s="2"/>
    </row>
    <row r="12" spans="1:9" x14ac:dyDescent="0.25">
      <c r="A12" s="2"/>
      <c r="B12" s="99" t="s">
        <v>15</v>
      </c>
      <c r="C12" s="100"/>
      <c r="D12" s="100"/>
      <c r="E12" s="100"/>
      <c r="F12" s="101"/>
      <c r="G12" s="21">
        <f>($G$9+G10)*(1+'Fane 2.1. Økonomisk ramme 2018'!E19/100)*($G$11/100)</f>
        <v>412569.74541778612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110" t="s">
        <v>47</v>
      </c>
      <c r="C9" s="111"/>
      <c r="D9" s="111"/>
      <c r="E9" s="111"/>
      <c r="F9" s="112"/>
      <c r="G9" s="12">
        <f>'Fane 3. Korrigeret grundlag'!G9+(SUM('Fane 2.1. Økonomisk ramme 2018'!E13,'Fane 2.1. Økonomisk ramme 2018'!E14,'Fane 2.1. Økonomisk ramme 2018'!E17))</f>
        <v>14198413.334072666</v>
      </c>
      <c r="H9" s="23" t="s">
        <v>4</v>
      </c>
      <c r="I9" s="2"/>
    </row>
    <row r="10" spans="1:9" x14ac:dyDescent="0.25">
      <c r="A10" s="2"/>
      <c r="B10" s="55" t="s">
        <v>199</v>
      </c>
      <c r="C10" s="56"/>
      <c r="D10" s="56"/>
      <c r="E10" s="56"/>
      <c r="F10" s="57"/>
      <c r="G10" s="12">
        <v>-283968.26</v>
      </c>
      <c r="H10" s="23" t="s">
        <v>4</v>
      </c>
      <c r="I10" s="2"/>
    </row>
    <row r="11" spans="1:9" x14ac:dyDescent="0.25">
      <c r="A11" s="2"/>
      <c r="B11" s="89" t="s">
        <v>16</v>
      </c>
      <c r="C11" s="90"/>
      <c r="D11" s="90"/>
      <c r="E11" s="90"/>
      <c r="F11" s="91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2018'!E19/100)*$G$11/100</f>
        <v>283158.95725737879</v>
      </c>
      <c r="H12" s="38" t="s">
        <v>4</v>
      </c>
      <c r="I12" s="2"/>
    </row>
    <row r="13" spans="1:9" x14ac:dyDescent="0.25">
      <c r="A13" s="2"/>
      <c r="B13" s="89" t="s">
        <v>48</v>
      </c>
      <c r="C13" s="90"/>
      <c r="D13" s="90"/>
      <c r="E13" s="90"/>
      <c r="F13" s="91"/>
      <c r="G13" s="12">
        <f>'Fane 3. Korrigeret grundlag'!G10+SUM('Fane 2.1. Økonomisk ramme 2018'!E15,'Fane 2.1. Økonomisk ramme 2018'!E18)</f>
        <v>37737614.893777318</v>
      </c>
      <c r="H13" s="23" t="s">
        <v>4</v>
      </c>
      <c r="I13" s="2"/>
    </row>
    <row r="14" spans="1:9" x14ac:dyDescent="0.25">
      <c r="A14" s="2"/>
      <c r="B14" s="51" t="s">
        <v>201</v>
      </c>
      <c r="C14" s="52"/>
      <c r="D14" s="52"/>
      <c r="E14" s="52"/>
      <c r="F14" s="53"/>
      <c r="G14" s="12">
        <v>-343849.74756415852</v>
      </c>
      <c r="H14" s="23" t="s">
        <v>4</v>
      </c>
      <c r="I14" s="2"/>
    </row>
    <row r="15" spans="1:9" x14ac:dyDescent="0.25">
      <c r="A15" s="2"/>
      <c r="B15" s="89" t="s">
        <v>16</v>
      </c>
      <c r="C15" s="90"/>
      <c r="D15" s="90"/>
      <c r="E15" s="90"/>
      <c r="F15" s="91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2018'!E19/100)*$G$15/100</f>
        <v>673452.3618420125</v>
      </c>
      <c r="H16" s="38" t="s">
        <v>4</v>
      </c>
      <c r="I16" s="2"/>
    </row>
    <row r="17" spans="1:9" x14ac:dyDescent="0.25">
      <c r="A17" s="2"/>
      <c r="B17" s="99" t="s">
        <v>52</v>
      </c>
      <c r="C17" s="100"/>
      <c r="D17" s="100"/>
      <c r="E17" s="100"/>
      <c r="F17" s="101"/>
      <c r="G17" s="21">
        <f>G12+G16</f>
        <v>956611.31909939134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73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54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42</v>
      </c>
      <c r="C9" s="90"/>
      <c r="D9" s="90"/>
      <c r="E9" s="90"/>
      <c r="F9" s="91"/>
      <c r="G9" s="27">
        <v>2950868</v>
      </c>
      <c r="H9" s="23" t="s">
        <v>4</v>
      </c>
      <c r="I9" s="2"/>
    </row>
    <row r="10" spans="1:9" x14ac:dyDescent="0.25">
      <c r="A10" s="2"/>
      <c r="B10" s="89" t="s">
        <v>122</v>
      </c>
      <c r="C10" s="90"/>
      <c r="D10" s="90"/>
      <c r="E10" s="90"/>
      <c r="F10" s="91"/>
      <c r="G10" s="27">
        <v>2950868</v>
      </c>
      <c r="H10" s="23" t="s">
        <v>4</v>
      </c>
      <c r="I10" s="2"/>
    </row>
    <row r="11" spans="1:9" x14ac:dyDescent="0.25">
      <c r="A11" s="2"/>
      <c r="B11" s="113" t="s">
        <v>45</v>
      </c>
      <c r="C11" s="114"/>
      <c r="D11" s="114"/>
      <c r="E11" s="114"/>
      <c r="F11" s="115"/>
      <c r="G11" s="50">
        <f>G9-G10</f>
        <v>0</v>
      </c>
      <c r="H11" s="39" t="s">
        <v>4</v>
      </c>
      <c r="I11" s="2"/>
    </row>
    <row r="12" spans="1:9" x14ac:dyDescent="0.25">
      <c r="A12" s="2"/>
      <c r="B12" s="89" t="s">
        <v>43</v>
      </c>
      <c r="C12" s="90"/>
      <c r="D12" s="90"/>
      <c r="E12" s="90"/>
      <c r="F12" s="91"/>
      <c r="G12" s="27">
        <v>0</v>
      </c>
      <c r="H12" s="23" t="s">
        <v>127</v>
      </c>
      <c r="I12" s="2"/>
    </row>
    <row r="13" spans="1:9" x14ac:dyDescent="0.25">
      <c r="A13" s="2"/>
      <c r="B13" s="99" t="s">
        <v>41</v>
      </c>
      <c r="C13" s="100"/>
      <c r="D13" s="100"/>
      <c r="E13" s="100"/>
      <c r="F13" s="101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74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75</v>
      </c>
      <c r="C8" s="100"/>
      <c r="D8" s="100"/>
      <c r="E8" s="100"/>
      <c r="F8" s="100"/>
      <c r="G8" s="101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6" t="s">
        <v>3</v>
      </c>
      <c r="G9" s="116"/>
      <c r="H9" s="2"/>
    </row>
    <row r="10" spans="1:8" x14ac:dyDescent="0.25">
      <c r="A10" s="2"/>
      <c r="B10" s="47" t="s">
        <v>149</v>
      </c>
      <c r="C10" s="41">
        <v>2016</v>
      </c>
      <c r="D10" s="28">
        <v>75</v>
      </c>
      <c r="E10" s="27">
        <v>347928</v>
      </c>
      <c r="F10" s="12">
        <f>E10/D10</f>
        <v>4639.04</v>
      </c>
      <c r="G10" s="23" t="s">
        <v>4</v>
      </c>
      <c r="H10" s="2"/>
    </row>
    <row r="11" spans="1:8" ht="26.25" x14ac:dyDescent="0.25">
      <c r="A11" s="2"/>
      <c r="B11" s="47" t="s">
        <v>150</v>
      </c>
      <c r="C11" s="41">
        <v>2016</v>
      </c>
      <c r="D11" s="28">
        <v>30</v>
      </c>
      <c r="E11" s="27">
        <v>128399</v>
      </c>
      <c r="F11" s="12">
        <f t="shared" ref="F11:F77" si="0">E11/D11</f>
        <v>4279.9666666666662</v>
      </c>
      <c r="G11" s="23" t="s">
        <v>4</v>
      </c>
      <c r="H11" s="2"/>
    </row>
    <row r="12" spans="1:8" x14ac:dyDescent="0.25">
      <c r="A12" s="2"/>
      <c r="B12" s="47" t="s">
        <v>151</v>
      </c>
      <c r="C12" s="41">
        <v>2016</v>
      </c>
      <c r="D12" s="28">
        <v>75</v>
      </c>
      <c r="E12" s="27">
        <v>112114</v>
      </c>
      <c r="F12" s="12">
        <f t="shared" si="0"/>
        <v>1494.8533333333332</v>
      </c>
      <c r="G12" s="23" t="s">
        <v>4</v>
      </c>
      <c r="H12" s="2"/>
    </row>
    <row r="13" spans="1:8" x14ac:dyDescent="0.25">
      <c r="A13" s="2"/>
      <c r="B13" s="47" t="s">
        <v>152</v>
      </c>
      <c r="C13" s="41">
        <v>2016</v>
      </c>
      <c r="D13" s="28">
        <v>75</v>
      </c>
      <c r="E13" s="27">
        <v>3621521</v>
      </c>
      <c r="F13" s="12">
        <f t="shared" si="0"/>
        <v>48286.946666666663</v>
      </c>
      <c r="G13" s="23" t="s">
        <v>4</v>
      </c>
      <c r="H13" s="2"/>
    </row>
    <row r="14" spans="1:8" x14ac:dyDescent="0.25">
      <c r="A14" s="2"/>
      <c r="B14" s="47" t="s">
        <v>153</v>
      </c>
      <c r="C14" s="41">
        <v>2016</v>
      </c>
      <c r="D14" s="28">
        <v>75</v>
      </c>
      <c r="E14" s="27">
        <v>62906</v>
      </c>
      <c r="F14" s="12">
        <f t="shared" si="0"/>
        <v>838.74666666666667</v>
      </c>
      <c r="G14" s="23" t="s">
        <v>4</v>
      </c>
      <c r="H14" s="2"/>
    </row>
    <row r="15" spans="1:8" x14ac:dyDescent="0.25">
      <c r="A15" s="2"/>
      <c r="B15" s="47" t="s">
        <v>154</v>
      </c>
      <c r="C15" s="41">
        <v>2016</v>
      </c>
      <c r="D15" s="28">
        <v>75</v>
      </c>
      <c r="E15" s="27">
        <v>499098</v>
      </c>
      <c r="F15" s="12">
        <f t="shared" si="0"/>
        <v>6654.64</v>
      </c>
      <c r="G15" s="23" t="s">
        <v>4</v>
      </c>
      <c r="H15" s="2"/>
    </row>
    <row r="16" spans="1:8" x14ac:dyDescent="0.25">
      <c r="A16" s="2"/>
      <c r="B16" s="47" t="s">
        <v>155</v>
      </c>
      <c r="C16" s="41">
        <v>2016</v>
      </c>
      <c r="D16" s="28">
        <v>50</v>
      </c>
      <c r="E16" s="27">
        <v>176547</v>
      </c>
      <c r="F16" s="12">
        <f t="shared" si="0"/>
        <v>3530.94</v>
      </c>
      <c r="G16" s="23" t="s">
        <v>4</v>
      </c>
      <c r="H16" s="2"/>
    </row>
    <row r="17" spans="1:8" x14ac:dyDescent="0.25">
      <c r="A17" s="2"/>
      <c r="B17" s="47" t="s">
        <v>149</v>
      </c>
      <c r="C17" s="41">
        <v>2016</v>
      </c>
      <c r="D17" s="28">
        <v>75</v>
      </c>
      <c r="E17" s="27">
        <v>51967</v>
      </c>
      <c r="F17" s="12">
        <f t="shared" si="0"/>
        <v>692.89333333333332</v>
      </c>
      <c r="G17" s="23" t="s">
        <v>4</v>
      </c>
      <c r="H17" s="2"/>
    </row>
    <row r="18" spans="1:8" x14ac:dyDescent="0.25">
      <c r="A18" s="2"/>
      <c r="B18" s="47" t="s">
        <v>155</v>
      </c>
      <c r="C18" s="41">
        <v>2016</v>
      </c>
      <c r="D18" s="28">
        <v>50</v>
      </c>
      <c r="E18" s="27">
        <v>10034</v>
      </c>
      <c r="F18" s="12">
        <f t="shared" si="0"/>
        <v>200.68</v>
      </c>
      <c r="G18" s="23" t="s">
        <v>4</v>
      </c>
      <c r="H18" s="2"/>
    </row>
    <row r="19" spans="1:8" x14ac:dyDescent="0.25">
      <c r="A19" s="2"/>
      <c r="B19" s="47" t="s">
        <v>151</v>
      </c>
      <c r="C19" s="41">
        <v>2016</v>
      </c>
      <c r="D19" s="28">
        <v>75</v>
      </c>
      <c r="E19" s="27">
        <v>1390707</v>
      </c>
      <c r="F19" s="12">
        <f t="shared" si="0"/>
        <v>18542.759999999998</v>
      </c>
      <c r="G19" s="23" t="s">
        <v>4</v>
      </c>
      <c r="H19" s="2"/>
    </row>
    <row r="20" spans="1:8" x14ac:dyDescent="0.25">
      <c r="A20" s="2"/>
      <c r="B20" s="47" t="s">
        <v>154</v>
      </c>
      <c r="C20" s="41">
        <v>2016</v>
      </c>
      <c r="D20" s="28">
        <v>75</v>
      </c>
      <c r="E20" s="27">
        <v>40650</v>
      </c>
      <c r="F20" s="12">
        <f t="shared" si="0"/>
        <v>542</v>
      </c>
      <c r="G20" s="23" t="s">
        <v>4</v>
      </c>
      <c r="H20" s="2"/>
    </row>
    <row r="21" spans="1:8" ht="26.25" x14ac:dyDescent="0.25">
      <c r="A21" s="2"/>
      <c r="B21" s="47" t="s">
        <v>150</v>
      </c>
      <c r="C21" s="41">
        <v>2016</v>
      </c>
      <c r="D21" s="28">
        <v>30</v>
      </c>
      <c r="E21" s="27">
        <v>250219</v>
      </c>
      <c r="F21" s="12">
        <f t="shared" si="0"/>
        <v>8340.6333333333332</v>
      </c>
      <c r="G21" s="23" t="s">
        <v>4</v>
      </c>
      <c r="H21" s="2"/>
    </row>
    <row r="22" spans="1:8" x14ac:dyDescent="0.25">
      <c r="A22" s="2"/>
      <c r="B22" s="47" t="s">
        <v>156</v>
      </c>
      <c r="C22" s="41">
        <v>2016</v>
      </c>
      <c r="D22" s="28">
        <v>20</v>
      </c>
      <c r="E22" s="27">
        <v>592290</v>
      </c>
      <c r="F22" s="12">
        <f t="shared" si="0"/>
        <v>29614.5</v>
      </c>
      <c r="G22" s="23" t="s">
        <v>4</v>
      </c>
      <c r="H22" s="2"/>
    </row>
    <row r="23" spans="1:8" x14ac:dyDescent="0.25">
      <c r="A23" s="2"/>
      <c r="B23" s="47" t="s">
        <v>151</v>
      </c>
      <c r="C23" s="41">
        <v>2016</v>
      </c>
      <c r="D23" s="28">
        <v>75</v>
      </c>
      <c r="E23" s="27">
        <v>222639</v>
      </c>
      <c r="F23" s="12">
        <f t="shared" si="0"/>
        <v>2968.52</v>
      </c>
      <c r="G23" s="23" t="s">
        <v>4</v>
      </c>
      <c r="H23" s="2"/>
    </row>
    <row r="24" spans="1:8" x14ac:dyDescent="0.25">
      <c r="A24" s="2"/>
      <c r="B24" s="47" t="s">
        <v>154</v>
      </c>
      <c r="C24" s="41">
        <v>2016</v>
      </c>
      <c r="D24" s="28">
        <v>75</v>
      </c>
      <c r="E24" s="27">
        <v>18475</v>
      </c>
      <c r="F24" s="12">
        <f t="shared" si="0"/>
        <v>246.33333333333334</v>
      </c>
      <c r="G24" s="23" t="s">
        <v>4</v>
      </c>
      <c r="H24" s="2"/>
    </row>
    <row r="25" spans="1:8" x14ac:dyDescent="0.25">
      <c r="A25" s="2"/>
      <c r="B25" s="47" t="s">
        <v>151</v>
      </c>
      <c r="C25" s="41">
        <v>2016</v>
      </c>
      <c r="D25" s="28">
        <v>75</v>
      </c>
      <c r="E25" s="27">
        <v>63556</v>
      </c>
      <c r="F25" s="12">
        <f t="shared" si="0"/>
        <v>847.4133333333333</v>
      </c>
      <c r="G25" s="23" t="s">
        <v>4</v>
      </c>
      <c r="H25" s="2"/>
    </row>
    <row r="26" spans="1:8" x14ac:dyDescent="0.25">
      <c r="A26" s="2"/>
      <c r="B26" s="47" t="s">
        <v>151</v>
      </c>
      <c r="C26" s="41">
        <v>2016</v>
      </c>
      <c r="D26" s="28">
        <v>75</v>
      </c>
      <c r="E26" s="27">
        <v>6366</v>
      </c>
      <c r="F26" s="12">
        <f t="shared" si="0"/>
        <v>84.88</v>
      </c>
      <c r="G26" s="23" t="s">
        <v>4</v>
      </c>
      <c r="H26" s="2"/>
    </row>
    <row r="27" spans="1:8" x14ac:dyDescent="0.25">
      <c r="A27" s="2"/>
      <c r="B27" s="47" t="s">
        <v>151</v>
      </c>
      <c r="C27" s="41">
        <v>2016</v>
      </c>
      <c r="D27" s="28">
        <v>75</v>
      </c>
      <c r="E27" s="27">
        <v>3298196</v>
      </c>
      <c r="F27" s="12">
        <f t="shared" si="0"/>
        <v>43975.946666666663</v>
      </c>
      <c r="G27" s="23" t="s">
        <v>4</v>
      </c>
      <c r="H27" s="2"/>
    </row>
    <row r="28" spans="1:8" x14ac:dyDescent="0.25">
      <c r="A28" s="2"/>
      <c r="B28" s="47" t="s">
        <v>152</v>
      </c>
      <c r="C28" s="41">
        <v>2016</v>
      </c>
      <c r="D28" s="28">
        <v>75</v>
      </c>
      <c r="E28" s="27">
        <v>11125196</v>
      </c>
      <c r="F28" s="12">
        <f t="shared" si="0"/>
        <v>148335.94666666666</v>
      </c>
      <c r="G28" s="23" t="s">
        <v>4</v>
      </c>
      <c r="H28" s="2"/>
    </row>
    <row r="29" spans="1:8" x14ac:dyDescent="0.25">
      <c r="A29" s="2"/>
      <c r="B29" s="47" t="s">
        <v>154</v>
      </c>
      <c r="C29" s="41">
        <v>2016</v>
      </c>
      <c r="D29" s="28">
        <v>75</v>
      </c>
      <c r="E29" s="27">
        <v>689660</v>
      </c>
      <c r="F29" s="12">
        <f t="shared" si="0"/>
        <v>9195.4666666666672</v>
      </c>
      <c r="G29" s="23" t="s">
        <v>4</v>
      </c>
      <c r="H29" s="2"/>
    </row>
    <row r="30" spans="1:8" ht="26.25" x14ac:dyDescent="0.25">
      <c r="A30" s="2"/>
      <c r="B30" s="47" t="s">
        <v>150</v>
      </c>
      <c r="C30" s="41">
        <v>2016</v>
      </c>
      <c r="D30" s="28">
        <v>30</v>
      </c>
      <c r="E30" s="27">
        <v>980</v>
      </c>
      <c r="F30" s="12">
        <f t="shared" si="0"/>
        <v>32.666666666666664</v>
      </c>
      <c r="G30" s="23" t="s">
        <v>4</v>
      </c>
      <c r="H30" s="2"/>
    </row>
    <row r="31" spans="1:8" ht="26.25" x14ac:dyDescent="0.25">
      <c r="A31" s="2"/>
      <c r="B31" s="47" t="s">
        <v>150</v>
      </c>
      <c r="C31" s="41">
        <v>2016</v>
      </c>
      <c r="D31" s="28">
        <v>30</v>
      </c>
      <c r="E31" s="27">
        <v>7234</v>
      </c>
      <c r="F31" s="12">
        <f t="shared" si="0"/>
        <v>241.13333333333333</v>
      </c>
      <c r="G31" s="23" t="s">
        <v>4</v>
      </c>
      <c r="H31" s="2"/>
    </row>
    <row r="32" spans="1:8" ht="26.25" x14ac:dyDescent="0.25">
      <c r="A32" s="2"/>
      <c r="B32" s="47" t="s">
        <v>150</v>
      </c>
      <c r="C32" s="41">
        <v>2016</v>
      </c>
      <c r="D32" s="28">
        <v>30</v>
      </c>
      <c r="E32" s="27">
        <v>8670</v>
      </c>
      <c r="F32" s="12">
        <f t="shared" si="0"/>
        <v>289</v>
      </c>
      <c r="G32" s="23" t="s">
        <v>4</v>
      </c>
      <c r="H32" s="2"/>
    </row>
    <row r="33" spans="1:8" x14ac:dyDescent="0.25">
      <c r="A33" s="2"/>
      <c r="B33" s="47" t="s">
        <v>151</v>
      </c>
      <c r="C33" s="41">
        <v>2016</v>
      </c>
      <c r="D33" s="28">
        <v>75</v>
      </c>
      <c r="E33" s="27">
        <v>975</v>
      </c>
      <c r="F33" s="12">
        <f t="shared" si="0"/>
        <v>13</v>
      </c>
      <c r="G33" s="23" t="s">
        <v>4</v>
      </c>
      <c r="H33" s="2"/>
    </row>
    <row r="34" spans="1:8" ht="26.25" x14ac:dyDescent="0.25">
      <c r="A34" s="2"/>
      <c r="B34" s="47" t="s">
        <v>150</v>
      </c>
      <c r="C34" s="41">
        <v>2016</v>
      </c>
      <c r="D34" s="28">
        <v>30</v>
      </c>
      <c r="E34" s="27">
        <v>11388</v>
      </c>
      <c r="F34" s="12">
        <f t="shared" si="0"/>
        <v>379.6</v>
      </c>
      <c r="G34" s="23" t="s">
        <v>4</v>
      </c>
      <c r="H34" s="2"/>
    </row>
    <row r="35" spans="1:8" x14ac:dyDescent="0.25">
      <c r="A35" s="2"/>
      <c r="B35" s="47" t="s">
        <v>149</v>
      </c>
      <c r="C35" s="41">
        <v>2016</v>
      </c>
      <c r="D35" s="28">
        <v>75</v>
      </c>
      <c r="E35" s="27">
        <v>28722</v>
      </c>
      <c r="F35" s="12">
        <f t="shared" si="0"/>
        <v>382.96</v>
      </c>
      <c r="G35" s="23" t="s">
        <v>4</v>
      </c>
      <c r="H35" s="2"/>
    </row>
    <row r="36" spans="1:8" x14ac:dyDescent="0.25">
      <c r="A36" s="2"/>
      <c r="B36" s="47" t="s">
        <v>149</v>
      </c>
      <c r="C36" s="41">
        <v>2016</v>
      </c>
      <c r="D36" s="28">
        <v>75</v>
      </c>
      <c r="E36" s="27">
        <v>19380</v>
      </c>
      <c r="F36" s="12">
        <f t="shared" si="0"/>
        <v>258.39999999999998</v>
      </c>
      <c r="G36" s="23" t="s">
        <v>4</v>
      </c>
      <c r="H36" s="2"/>
    </row>
    <row r="37" spans="1:8" ht="26.25" x14ac:dyDescent="0.25">
      <c r="A37" s="2"/>
      <c r="B37" s="47" t="s">
        <v>150</v>
      </c>
      <c r="C37" s="41">
        <v>2016</v>
      </c>
      <c r="D37" s="28">
        <v>30</v>
      </c>
      <c r="E37" s="27">
        <v>22973</v>
      </c>
      <c r="F37" s="12">
        <f t="shared" si="0"/>
        <v>765.76666666666665</v>
      </c>
      <c r="G37" s="23" t="s">
        <v>4</v>
      </c>
      <c r="H37" s="2"/>
    </row>
    <row r="38" spans="1:8" ht="26.25" x14ac:dyDescent="0.25">
      <c r="A38" s="2"/>
      <c r="B38" s="47" t="s">
        <v>150</v>
      </c>
      <c r="C38" s="41">
        <v>2016</v>
      </c>
      <c r="D38" s="28">
        <v>30</v>
      </c>
      <c r="E38" s="27">
        <v>74545</v>
      </c>
      <c r="F38" s="12">
        <f t="shared" si="0"/>
        <v>2484.8333333333335</v>
      </c>
      <c r="G38" s="23" t="s">
        <v>4</v>
      </c>
      <c r="H38" s="2"/>
    </row>
    <row r="39" spans="1:8" ht="26.25" x14ac:dyDescent="0.25">
      <c r="A39" s="2"/>
      <c r="B39" s="47" t="s">
        <v>157</v>
      </c>
      <c r="C39" s="41">
        <v>2016</v>
      </c>
      <c r="D39" s="28">
        <v>50</v>
      </c>
      <c r="E39" s="27">
        <v>62693</v>
      </c>
      <c r="F39" s="12">
        <f t="shared" si="0"/>
        <v>1253.8599999999999</v>
      </c>
      <c r="G39" s="23" t="s">
        <v>4</v>
      </c>
      <c r="H39" s="2"/>
    </row>
    <row r="40" spans="1:8" x14ac:dyDescent="0.25">
      <c r="A40" s="2"/>
      <c r="B40" s="47" t="s">
        <v>151</v>
      </c>
      <c r="C40" s="41">
        <v>2016</v>
      </c>
      <c r="D40" s="28">
        <v>75</v>
      </c>
      <c r="E40" s="27">
        <v>392547</v>
      </c>
      <c r="F40" s="12">
        <f t="shared" si="0"/>
        <v>5233.96</v>
      </c>
      <c r="G40" s="23" t="s">
        <v>4</v>
      </c>
      <c r="H40" s="2"/>
    </row>
    <row r="41" spans="1:8" x14ac:dyDescent="0.25">
      <c r="A41" s="2"/>
      <c r="B41" s="47" t="s">
        <v>152</v>
      </c>
      <c r="C41" s="41">
        <v>2016</v>
      </c>
      <c r="D41" s="28">
        <v>75</v>
      </c>
      <c r="E41" s="27">
        <v>268230</v>
      </c>
      <c r="F41" s="12">
        <f t="shared" si="0"/>
        <v>3576.4</v>
      </c>
      <c r="G41" s="23" t="s">
        <v>4</v>
      </c>
      <c r="H41" s="2"/>
    </row>
    <row r="42" spans="1:8" x14ac:dyDescent="0.25">
      <c r="A42" s="2"/>
      <c r="B42" s="47" t="s">
        <v>153</v>
      </c>
      <c r="C42" s="41">
        <v>2016</v>
      </c>
      <c r="D42" s="28">
        <v>75</v>
      </c>
      <c r="E42" s="27">
        <v>250482</v>
      </c>
      <c r="F42" s="12">
        <f t="shared" si="0"/>
        <v>3339.76</v>
      </c>
      <c r="G42" s="23" t="s">
        <v>4</v>
      </c>
      <c r="H42" s="2"/>
    </row>
    <row r="43" spans="1:8" x14ac:dyDescent="0.25">
      <c r="A43" s="2"/>
      <c r="B43" s="47" t="s">
        <v>154</v>
      </c>
      <c r="C43" s="41">
        <v>2016</v>
      </c>
      <c r="D43" s="28">
        <v>75</v>
      </c>
      <c r="E43" s="27">
        <v>136610</v>
      </c>
      <c r="F43" s="12">
        <f t="shared" si="0"/>
        <v>1821.4666666666667</v>
      </c>
      <c r="G43" s="23" t="s">
        <v>4</v>
      </c>
      <c r="H43" s="2"/>
    </row>
    <row r="44" spans="1:8" x14ac:dyDescent="0.25">
      <c r="A44" s="2"/>
      <c r="B44" s="47" t="s">
        <v>149</v>
      </c>
      <c r="C44" s="41">
        <v>2016</v>
      </c>
      <c r="D44" s="28">
        <v>75</v>
      </c>
      <c r="E44" s="27">
        <v>149826</v>
      </c>
      <c r="F44" s="12">
        <f t="shared" si="0"/>
        <v>1997.68</v>
      </c>
      <c r="G44" s="23" t="s">
        <v>4</v>
      </c>
      <c r="H44" s="2"/>
    </row>
    <row r="45" spans="1:8" x14ac:dyDescent="0.25">
      <c r="A45" s="2"/>
      <c r="B45" s="47" t="s">
        <v>151</v>
      </c>
      <c r="C45" s="41">
        <v>2016</v>
      </c>
      <c r="D45" s="28">
        <v>75</v>
      </c>
      <c r="E45" s="27">
        <v>14248</v>
      </c>
      <c r="F45" s="12">
        <f t="shared" si="0"/>
        <v>189.97333333333333</v>
      </c>
      <c r="G45" s="23" t="s">
        <v>4</v>
      </c>
      <c r="H45" s="2"/>
    </row>
    <row r="46" spans="1:8" x14ac:dyDescent="0.25">
      <c r="A46" s="2"/>
      <c r="B46" s="47" t="s">
        <v>152</v>
      </c>
      <c r="C46" s="41">
        <v>2016</v>
      </c>
      <c r="D46" s="28">
        <v>75</v>
      </c>
      <c r="E46" s="27">
        <v>1831908</v>
      </c>
      <c r="F46" s="12">
        <f t="shared" si="0"/>
        <v>24425.439999999999</v>
      </c>
      <c r="G46" s="23" t="s">
        <v>4</v>
      </c>
      <c r="H46" s="2"/>
    </row>
    <row r="47" spans="1:8" x14ac:dyDescent="0.25">
      <c r="A47" s="2"/>
      <c r="B47" s="47" t="s">
        <v>153</v>
      </c>
      <c r="C47" s="41">
        <v>2016</v>
      </c>
      <c r="D47" s="28">
        <v>75</v>
      </c>
      <c r="E47" s="27">
        <v>3476233</v>
      </c>
      <c r="F47" s="12">
        <f t="shared" si="0"/>
        <v>46349.773333333331</v>
      </c>
      <c r="G47" s="23" t="s">
        <v>4</v>
      </c>
      <c r="H47" s="2"/>
    </row>
    <row r="48" spans="1:8" x14ac:dyDescent="0.25">
      <c r="A48" s="2"/>
      <c r="B48" s="47" t="s">
        <v>151</v>
      </c>
      <c r="C48" s="41">
        <v>2016</v>
      </c>
      <c r="D48" s="28">
        <v>75</v>
      </c>
      <c r="E48" s="27">
        <v>1625765</v>
      </c>
      <c r="F48" s="12">
        <f t="shared" si="0"/>
        <v>21676.866666666665</v>
      </c>
      <c r="G48" s="23" t="s">
        <v>4</v>
      </c>
      <c r="H48" s="2"/>
    </row>
    <row r="49" spans="1:8" x14ac:dyDescent="0.25">
      <c r="A49" s="2"/>
      <c r="B49" s="47" t="s">
        <v>154</v>
      </c>
      <c r="C49" s="41">
        <v>2016</v>
      </c>
      <c r="D49" s="28">
        <v>75</v>
      </c>
      <c r="E49" s="27">
        <v>1570503</v>
      </c>
      <c r="F49" s="12">
        <f t="shared" si="0"/>
        <v>20940.04</v>
      </c>
      <c r="G49" s="23" t="s">
        <v>4</v>
      </c>
      <c r="H49" s="2"/>
    </row>
    <row r="50" spans="1:8" x14ac:dyDescent="0.25">
      <c r="A50" s="2"/>
      <c r="B50" s="47" t="s">
        <v>149</v>
      </c>
      <c r="C50" s="41">
        <v>2016</v>
      </c>
      <c r="D50" s="28">
        <v>75</v>
      </c>
      <c r="E50" s="27">
        <v>321690</v>
      </c>
      <c r="F50" s="12">
        <f t="shared" si="0"/>
        <v>4289.2</v>
      </c>
      <c r="G50" s="23" t="s">
        <v>4</v>
      </c>
      <c r="H50" s="2"/>
    </row>
    <row r="51" spans="1:8" ht="26.25" x14ac:dyDescent="0.25">
      <c r="A51" s="2"/>
      <c r="B51" s="47" t="s">
        <v>158</v>
      </c>
      <c r="C51" s="41">
        <v>2016</v>
      </c>
      <c r="D51" s="28">
        <v>50</v>
      </c>
      <c r="E51" s="27">
        <v>1896350</v>
      </c>
      <c r="F51" s="12">
        <f t="shared" si="0"/>
        <v>37927</v>
      </c>
      <c r="G51" s="23" t="s">
        <v>4</v>
      </c>
      <c r="H51" s="2"/>
    </row>
    <row r="52" spans="1:8" ht="26.25" x14ac:dyDescent="0.25">
      <c r="A52" s="2"/>
      <c r="B52" s="47" t="s">
        <v>159</v>
      </c>
      <c r="C52" s="41">
        <v>2016</v>
      </c>
      <c r="D52" s="28">
        <v>20</v>
      </c>
      <c r="E52" s="27">
        <v>318120</v>
      </c>
      <c r="F52" s="12">
        <f t="shared" si="0"/>
        <v>15906</v>
      </c>
      <c r="G52" s="23" t="s">
        <v>4</v>
      </c>
      <c r="H52" s="2"/>
    </row>
    <row r="53" spans="1:8" ht="26.25" x14ac:dyDescent="0.25">
      <c r="A53" s="2"/>
      <c r="B53" s="47" t="s">
        <v>160</v>
      </c>
      <c r="C53" s="41">
        <v>2016</v>
      </c>
      <c r="D53" s="28">
        <v>10</v>
      </c>
      <c r="E53" s="27">
        <v>65212</v>
      </c>
      <c r="F53" s="12">
        <f t="shared" si="0"/>
        <v>6521.2</v>
      </c>
      <c r="G53" s="23" t="s">
        <v>4</v>
      </c>
      <c r="H53" s="2"/>
    </row>
    <row r="54" spans="1:8" x14ac:dyDescent="0.25">
      <c r="A54" s="2"/>
      <c r="B54" s="47" t="s">
        <v>161</v>
      </c>
      <c r="C54" s="41">
        <v>2016</v>
      </c>
      <c r="D54" s="28">
        <v>50</v>
      </c>
      <c r="E54" s="27">
        <v>2679173</v>
      </c>
      <c r="F54" s="12">
        <f t="shared" si="0"/>
        <v>53583.46</v>
      </c>
      <c r="G54" s="23" t="s">
        <v>4</v>
      </c>
      <c r="H54" s="2"/>
    </row>
    <row r="55" spans="1:8" x14ac:dyDescent="0.25">
      <c r="A55" s="2"/>
      <c r="B55" s="47" t="s">
        <v>162</v>
      </c>
      <c r="C55" s="41">
        <v>2016</v>
      </c>
      <c r="D55" s="28">
        <v>75</v>
      </c>
      <c r="E55" s="27">
        <v>846641</v>
      </c>
      <c r="F55" s="12">
        <f t="shared" si="0"/>
        <v>11288.546666666667</v>
      </c>
      <c r="G55" s="23" t="s">
        <v>4</v>
      </c>
      <c r="H55" s="2"/>
    </row>
    <row r="56" spans="1:8" x14ac:dyDescent="0.25">
      <c r="A56" s="2"/>
      <c r="B56" s="47" t="s">
        <v>151</v>
      </c>
      <c r="C56" s="41">
        <v>2016</v>
      </c>
      <c r="D56" s="28">
        <v>75</v>
      </c>
      <c r="E56" s="27">
        <v>205036</v>
      </c>
      <c r="F56" s="12">
        <f t="shared" si="0"/>
        <v>2733.8133333333335</v>
      </c>
      <c r="G56" s="23" t="s">
        <v>4</v>
      </c>
      <c r="H56" s="2"/>
    </row>
    <row r="57" spans="1:8" x14ac:dyDescent="0.25">
      <c r="A57" s="2"/>
      <c r="B57" s="47" t="s">
        <v>154</v>
      </c>
      <c r="C57" s="41">
        <v>2016</v>
      </c>
      <c r="D57" s="28">
        <v>75</v>
      </c>
      <c r="E57" s="27">
        <v>92846</v>
      </c>
      <c r="F57" s="12">
        <f t="shared" si="0"/>
        <v>1237.9466666666667</v>
      </c>
      <c r="G57" s="23" t="s">
        <v>4</v>
      </c>
      <c r="H57" s="2"/>
    </row>
    <row r="58" spans="1:8" ht="39" x14ac:dyDescent="0.25">
      <c r="A58" s="2"/>
      <c r="B58" s="47" t="s">
        <v>163</v>
      </c>
      <c r="C58" s="41">
        <v>2016</v>
      </c>
      <c r="D58" s="28">
        <v>50</v>
      </c>
      <c r="E58" s="27">
        <v>277449</v>
      </c>
      <c r="F58" s="12">
        <f t="shared" si="0"/>
        <v>5548.98</v>
      </c>
      <c r="G58" s="23" t="s">
        <v>4</v>
      </c>
      <c r="H58" s="2"/>
    </row>
    <row r="59" spans="1:8" x14ac:dyDescent="0.25">
      <c r="A59" s="2"/>
      <c r="B59" s="47" t="s">
        <v>149</v>
      </c>
      <c r="C59" s="41">
        <v>2016</v>
      </c>
      <c r="D59" s="28">
        <v>75</v>
      </c>
      <c r="E59" s="27">
        <v>32261</v>
      </c>
      <c r="F59" s="12">
        <f t="shared" si="0"/>
        <v>430.14666666666665</v>
      </c>
      <c r="G59" s="23" t="s">
        <v>4</v>
      </c>
      <c r="H59" s="2"/>
    </row>
    <row r="60" spans="1:8" x14ac:dyDescent="0.25">
      <c r="A60" s="2"/>
      <c r="B60" s="47" t="s">
        <v>149</v>
      </c>
      <c r="C60" s="41">
        <v>2016</v>
      </c>
      <c r="D60" s="28">
        <v>75</v>
      </c>
      <c r="E60" s="27">
        <v>122857</v>
      </c>
      <c r="F60" s="12">
        <f t="shared" si="0"/>
        <v>1638.0933333333332</v>
      </c>
      <c r="G60" s="23" t="s">
        <v>4</v>
      </c>
      <c r="H60" s="2"/>
    </row>
    <row r="61" spans="1:8" x14ac:dyDescent="0.25">
      <c r="A61" s="2"/>
      <c r="B61" s="47" t="s">
        <v>154</v>
      </c>
      <c r="C61" s="41">
        <v>2016</v>
      </c>
      <c r="D61" s="28">
        <v>75</v>
      </c>
      <c r="E61" s="27">
        <v>767135</v>
      </c>
      <c r="F61" s="12">
        <f t="shared" si="0"/>
        <v>10228.466666666667</v>
      </c>
      <c r="G61" s="23" t="s">
        <v>4</v>
      </c>
      <c r="H61" s="2"/>
    </row>
    <row r="62" spans="1:8" x14ac:dyDescent="0.25">
      <c r="A62" s="2"/>
      <c r="B62" s="47" t="s">
        <v>164</v>
      </c>
      <c r="C62" s="41">
        <v>2016</v>
      </c>
      <c r="D62" s="28">
        <v>20</v>
      </c>
      <c r="E62" s="27">
        <v>113413</v>
      </c>
      <c r="F62" s="12">
        <f t="shared" si="0"/>
        <v>5670.65</v>
      </c>
      <c r="G62" s="23" t="s">
        <v>4</v>
      </c>
      <c r="H62" s="2"/>
    </row>
    <row r="63" spans="1:8" x14ac:dyDescent="0.25">
      <c r="A63" s="2"/>
      <c r="B63" s="47" t="s">
        <v>165</v>
      </c>
      <c r="C63" s="41">
        <v>2016</v>
      </c>
      <c r="D63" s="28">
        <v>10</v>
      </c>
      <c r="E63" s="27">
        <v>8400</v>
      </c>
      <c r="F63" s="12">
        <f t="shared" si="0"/>
        <v>840</v>
      </c>
      <c r="G63" s="23" t="s">
        <v>4</v>
      </c>
      <c r="H63" s="2"/>
    </row>
    <row r="64" spans="1:8" x14ac:dyDescent="0.25">
      <c r="A64" s="2"/>
      <c r="B64" s="47" t="s">
        <v>166</v>
      </c>
      <c r="C64" s="41">
        <v>2016</v>
      </c>
      <c r="D64" s="28">
        <v>20</v>
      </c>
      <c r="E64" s="27">
        <v>91016</v>
      </c>
      <c r="F64" s="12">
        <f t="shared" si="0"/>
        <v>4550.8</v>
      </c>
      <c r="G64" s="23" t="s">
        <v>4</v>
      </c>
      <c r="H64" s="2"/>
    </row>
    <row r="65" spans="1:8" x14ac:dyDescent="0.25">
      <c r="A65" s="2"/>
      <c r="B65" s="47" t="s">
        <v>167</v>
      </c>
      <c r="C65" s="41">
        <v>2016</v>
      </c>
      <c r="D65" s="28">
        <v>20</v>
      </c>
      <c r="E65" s="27">
        <v>59546</v>
      </c>
      <c r="F65" s="12">
        <f t="shared" si="0"/>
        <v>2977.3</v>
      </c>
      <c r="G65" s="23" t="s">
        <v>4</v>
      </c>
      <c r="H65" s="2"/>
    </row>
    <row r="66" spans="1:8" x14ac:dyDescent="0.25">
      <c r="A66" s="2"/>
      <c r="B66" s="47" t="s">
        <v>168</v>
      </c>
      <c r="C66" s="41">
        <v>2016</v>
      </c>
      <c r="D66" s="28">
        <v>10</v>
      </c>
      <c r="E66" s="27">
        <v>12018</v>
      </c>
      <c r="F66" s="12">
        <f t="shared" si="0"/>
        <v>1201.8</v>
      </c>
      <c r="G66" s="23" t="s">
        <v>4</v>
      </c>
      <c r="H66" s="2"/>
    </row>
    <row r="67" spans="1:8" x14ac:dyDescent="0.25">
      <c r="A67" s="2"/>
      <c r="B67" s="47" t="s">
        <v>166</v>
      </c>
      <c r="C67" s="41">
        <v>2016</v>
      </c>
      <c r="D67" s="28">
        <v>20</v>
      </c>
      <c r="E67" s="27">
        <v>16618</v>
      </c>
      <c r="F67" s="12">
        <f t="shared" si="0"/>
        <v>830.9</v>
      </c>
      <c r="G67" s="23" t="s">
        <v>4</v>
      </c>
      <c r="H67" s="2"/>
    </row>
    <row r="68" spans="1:8" x14ac:dyDescent="0.25">
      <c r="A68" s="2"/>
      <c r="B68" s="47" t="s">
        <v>168</v>
      </c>
      <c r="C68" s="41">
        <v>2016</v>
      </c>
      <c r="D68" s="28">
        <v>10</v>
      </c>
      <c r="E68" s="27">
        <v>78599</v>
      </c>
      <c r="F68" s="12">
        <f t="shared" si="0"/>
        <v>7859.9</v>
      </c>
      <c r="G68" s="23" t="s">
        <v>4</v>
      </c>
      <c r="H68" s="2"/>
    </row>
    <row r="69" spans="1:8" ht="26.25" x14ac:dyDescent="0.25">
      <c r="A69" s="2"/>
      <c r="B69" s="47" t="s">
        <v>169</v>
      </c>
      <c r="C69" s="41">
        <v>2016</v>
      </c>
      <c r="D69" s="28">
        <v>20</v>
      </c>
      <c r="E69" s="27">
        <v>101348</v>
      </c>
      <c r="F69" s="12">
        <f t="shared" si="0"/>
        <v>5067.3999999999996</v>
      </c>
      <c r="G69" s="23" t="s">
        <v>4</v>
      </c>
      <c r="H69" s="2"/>
    </row>
    <row r="70" spans="1:8" x14ac:dyDescent="0.25">
      <c r="A70" s="2"/>
      <c r="B70" s="47" t="s">
        <v>170</v>
      </c>
      <c r="C70" s="41">
        <v>2016</v>
      </c>
      <c r="D70" s="28">
        <v>10</v>
      </c>
      <c r="E70" s="27">
        <v>9108</v>
      </c>
      <c r="F70" s="12">
        <f t="shared" si="0"/>
        <v>910.8</v>
      </c>
      <c r="G70" s="23" t="s">
        <v>4</v>
      </c>
      <c r="H70" s="2"/>
    </row>
    <row r="71" spans="1:8" ht="26.25" x14ac:dyDescent="0.25">
      <c r="A71" s="2"/>
      <c r="B71" s="47" t="s">
        <v>157</v>
      </c>
      <c r="C71" s="41">
        <v>2016</v>
      </c>
      <c r="D71" s="28">
        <v>50</v>
      </c>
      <c r="E71" s="27">
        <v>42663</v>
      </c>
      <c r="F71" s="12">
        <f t="shared" si="0"/>
        <v>853.26</v>
      </c>
      <c r="G71" s="23" t="s">
        <v>4</v>
      </c>
      <c r="H71" s="2"/>
    </row>
    <row r="72" spans="1:8" x14ac:dyDescent="0.25">
      <c r="A72" s="2"/>
      <c r="B72" s="47" t="s">
        <v>171</v>
      </c>
      <c r="C72" s="41">
        <v>2016</v>
      </c>
      <c r="D72" s="28">
        <v>10</v>
      </c>
      <c r="E72" s="27">
        <v>43828</v>
      </c>
      <c r="F72" s="12">
        <f t="shared" si="0"/>
        <v>4382.8</v>
      </c>
      <c r="G72" s="23" t="s">
        <v>4</v>
      </c>
      <c r="H72" s="2"/>
    </row>
    <row r="73" spans="1:8" x14ac:dyDescent="0.25">
      <c r="A73" s="2"/>
      <c r="B73" s="47" t="s">
        <v>156</v>
      </c>
      <c r="C73" s="41">
        <v>2016</v>
      </c>
      <c r="D73" s="28">
        <v>20</v>
      </c>
      <c r="E73" s="27">
        <v>484465</v>
      </c>
      <c r="F73" s="12">
        <f t="shared" si="0"/>
        <v>24223.25</v>
      </c>
      <c r="G73" s="23" t="s">
        <v>4</v>
      </c>
      <c r="H73" s="2"/>
    </row>
    <row r="74" spans="1:8" ht="26.25" x14ac:dyDescent="0.25">
      <c r="A74" s="2"/>
      <c r="B74" s="47" t="s">
        <v>159</v>
      </c>
      <c r="C74" s="41">
        <v>2016</v>
      </c>
      <c r="D74" s="28">
        <v>20</v>
      </c>
      <c r="E74" s="27">
        <v>348927</v>
      </c>
      <c r="F74" s="12">
        <f t="shared" si="0"/>
        <v>17446.349999999999</v>
      </c>
      <c r="G74" s="23" t="s">
        <v>4</v>
      </c>
      <c r="H74" s="2"/>
    </row>
    <row r="75" spans="1:8" ht="26.25" x14ac:dyDescent="0.25">
      <c r="A75" s="2"/>
      <c r="B75" s="47" t="s">
        <v>158</v>
      </c>
      <c r="C75" s="41">
        <v>2016</v>
      </c>
      <c r="D75" s="28">
        <v>50</v>
      </c>
      <c r="E75" s="27">
        <v>29230</v>
      </c>
      <c r="F75" s="12">
        <f t="shared" si="0"/>
        <v>584.6</v>
      </c>
      <c r="G75" s="23" t="s">
        <v>4</v>
      </c>
      <c r="H75" s="2"/>
    </row>
    <row r="76" spans="1:8" x14ac:dyDescent="0.25">
      <c r="A76" s="2"/>
      <c r="B76" s="47" t="s">
        <v>151</v>
      </c>
      <c r="C76" s="41">
        <v>2016</v>
      </c>
      <c r="D76" s="28">
        <v>75</v>
      </c>
      <c r="E76" s="27">
        <v>102007</v>
      </c>
      <c r="F76" s="12">
        <f t="shared" si="0"/>
        <v>1360.0933333333332</v>
      </c>
      <c r="G76" s="23" t="s">
        <v>4</v>
      </c>
      <c r="H76" s="2"/>
    </row>
    <row r="77" spans="1:8" x14ac:dyDescent="0.25">
      <c r="A77" s="2"/>
      <c r="B77" s="47" t="s">
        <v>151</v>
      </c>
      <c r="C77" s="41">
        <v>2016</v>
      </c>
      <c r="D77" s="28">
        <v>75</v>
      </c>
      <c r="E77" s="27">
        <v>32262</v>
      </c>
      <c r="F77" s="12">
        <f t="shared" si="0"/>
        <v>430.16</v>
      </c>
      <c r="G77" s="23" t="s">
        <v>4</v>
      </c>
      <c r="H77" s="2"/>
    </row>
    <row r="78" spans="1:8" x14ac:dyDescent="0.25">
      <c r="A78" s="2"/>
      <c r="B78" s="99" t="s">
        <v>76</v>
      </c>
      <c r="C78" s="100"/>
      <c r="D78" s="100"/>
      <c r="E78" s="101"/>
      <c r="F78" s="21">
        <f>SUM(F10:F77)</f>
        <v>699488.60333333362</v>
      </c>
      <c r="G78" s="22" t="s">
        <v>4</v>
      </c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</sheetData>
  <sheetProtection password="DFE9" sheet="1" objects="1" scenarios="1"/>
  <mergeCells count="4">
    <mergeCell ref="B78:E7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2017-10-13T12:00:03Z</dcterms:modified>
</cp:coreProperties>
</file>