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24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5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<sst xmlns="http://schemas.openxmlformats.org/spreadsheetml/2006/main" count="381" uniqueCount="195">
  <si>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</si>
  <si>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</si>
  <si>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</si>
  <si>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</si>
  <si>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</si>
  <si>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</si>
  <si>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</si>
  <si>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</si>
  <si>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</si>
  <si>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</si>
  <si>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</si>
  <si>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</si>
  <si>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</si>
  <si>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</si>
  <si>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</si>
  <si>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</si>
  <si>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</si>
  <si>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</si>
  <si>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</si>
  <si>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</si>
  <si>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</si>
  <si>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</si>
  <si>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</si>
  <si>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</si>
  <si>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</si>
  <si>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</si>
  <si>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</si>
  <si>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</si>
  <si>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</si>
  <si>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</si>
  <si>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</si>
  <si>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</si>
  <si>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</si>
  <si>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</si>
  <si>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</si>
  <si>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</si>
  <si>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</si>
  <si>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</si>
  <si>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</si>
  <si>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</si>
  <si>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</si>
  <si>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</si>
  <si>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</si>
  <si>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</si>
  <si>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</si>
  <si>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</si>
  <si>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</si>
  <si>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</si>
  <si>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</si>
  <si>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</si>
  <si>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</si>
  <si>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</si>
  <si>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</si>
  <si>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</si>
  <si>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</si>
  <si>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</si>
  <si>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</si>
  <si>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</si>
  <si>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</si>
  <si>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</si>
  <si>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</si>
  <si>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</si>
  <si>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</si>
  <si>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</si>
  <si>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</si>
  <si>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</si>
  <si>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</si>
  <si>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</si>
  <si>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</si>
  <si>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</si>
  <si>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</si>
  <si>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</si>
  <si>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</si>
  <si>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</si>
  <si>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</si>
  <si>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</si>
  <si>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</si>
  <si>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</si>
  <si>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</si>
  <si>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</si>
  <si>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</si>
  <si>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</si>
  <si>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</si>
  <si>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</si>
  <si>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</si>
  <si>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</si>
  <si>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</si>
  <si>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</si>
  <si>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</si>
  <si>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</si>
  <si>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</si>
  <si>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</si>
  <si>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</si>
  <si>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</si>
  <si>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</si>
  <si>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</si>
  <si>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</si>
  <si>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</si>
  <si>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</si>
  <si>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</si>
  <si>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</si>
  <si>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</si>
  <si>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</si>
  <si>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</si>
  <si>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</si>
  <si>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</si>
  <si>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</si>
  <si>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</si>
  <si>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</si>
  <si>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</si>
  <si>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</si>
  <si>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</si>
  <si>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</si>
  <si>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</si>
  <si>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</si>
  <si>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</si>
  <si>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</si>
  <si>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</si>
  <si>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</si>
  <si>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</si>
  <si>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</si>
  <si>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</si>
  <si>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</si>
  <si>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</si>
  <si>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</si>
  <si>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</si>
  <si>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</si>
  <si>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</si>
  <si>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</si>
  <si>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</si>
  <si>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</si>
  <si>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</si>
  <si>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</si>
  <si>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</si>
  <si>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</si>
  <si>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</si>
  <si>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</si>
  <si>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</si>
  <si>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</si>
  <si>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</si>
  <si>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</si>
  <si>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</si>
  <si>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</si>
  <si>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</si>
  <si>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</si>
  <si>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</si>
  <si>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</si>
  <si>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</si>
  <si>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</si>
  <si>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Administrationbygninger</t>
  </si>
  <si>
    <t>Beluftningstanke, Mek/EL</t>
  </si>
  <si>
    <t>Brønde</t>
  </si>
  <si>
    <t>Efterklaringstanke, Mek/El</t>
  </si>
  <si>
    <t>Forsinkelsesbassiner, lukkede med automatisk rensning og SRO Miljøklasse A (500-1.000 m3) - Konstruktioner</t>
  </si>
  <si>
    <t>Jordbassin Klasse B</t>
  </si>
  <si>
    <t>Ledningsnet ≤ Ø 200 mm</t>
  </si>
  <si>
    <t>Pumpestationer i brønde (&lt; 6,25 m2), Konstruktioner</t>
  </si>
  <si>
    <t>Pumpestationer i brønde (&lt; 6,25 m2), Mek/EL</t>
  </si>
  <si>
    <t>Sand- og fedtfang, Kontruktioner</t>
  </si>
  <si>
    <t>Sand- og fedtfang, Mek/EL</t>
  </si>
  <si>
    <t>Stik</t>
  </si>
  <si>
    <t>Tryksatte minipumpestationer (husstandssystemer)</t>
  </si>
  <si>
    <t>Slutafvanding, slam - højteknologisk (centrifuger), Mek/El</t>
  </si>
  <si>
    <t>Køretøjer, små lastvogne (&lt; 3.500 kg.)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</si>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</sst>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5" t="s">
        <v>183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89" t="s">
        <v>80</v>
      </c>
      <c r="C9" s="90"/>
      <c r="D9" s="90"/>
      <c r="E9" s="90"/>
      <c r="F9" s="91"/>
      <c r="G9" s="27">
        <v>994507</v>
      </c>
      <c r="H9" s="23" t="s">
        <v>4</v>
      </c>
      <c r="I9" s="2"/>
    </row>
    <row r="10" spans="1:9" x14ac:dyDescent="0.25">
      <c r="A10" s="2"/>
      <c r="B10" s="89" t="s">
        <v>81</v>
      </c>
      <c r="C10" s="90"/>
      <c r="D10" s="90"/>
      <c r="E10" s="90"/>
      <c r="F10" s="91"/>
      <c r="G10" s="27">
        <v>1112834</v>
      </c>
      <c r="H10" s="23" t="s">
        <v>4</v>
      </c>
      <c r="I10" s="2"/>
    </row>
    <row r="11" spans="1:9" x14ac:dyDescent="0.25">
      <c r="A11" s="2"/>
      <c r="B11" s="99" t="s">
        <v>184</v>
      </c>
      <c r="C11" s="100"/>
      <c r="D11" s="100"/>
      <c r="E11" s="100"/>
      <c r="F11" s="101"/>
      <c r="G11" s="21">
        <f>G9-G10</f>
        <v>-118327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5" t="s">
        <v>185</v>
      </c>
      <c r="C14" s="106"/>
      <c r="D14" s="106"/>
      <c r="E14" s="106"/>
      <c r="F14" s="106"/>
      <c r="G14" s="106"/>
      <c r="H14" s="107"/>
      <c r="I14" s="2"/>
    </row>
    <row r="15" spans="1:9" x14ac:dyDescent="0.25">
      <c r="A15" s="2"/>
      <c r="B15" s="89" t="s">
        <v>82</v>
      </c>
      <c r="C15" s="90"/>
      <c r="D15" s="90"/>
      <c r="E15" s="90"/>
      <c r="F15" s="91"/>
      <c r="G15" s="27">
        <v>3930280</v>
      </c>
      <c r="H15" s="23" t="s">
        <v>4</v>
      </c>
      <c r="I15" s="2"/>
    </row>
    <row r="16" spans="1:9" x14ac:dyDescent="0.25">
      <c r="A16" s="2"/>
      <c r="B16" s="89" t="s">
        <v>83</v>
      </c>
      <c r="C16" s="90"/>
      <c r="D16" s="90"/>
      <c r="E16" s="90"/>
      <c r="F16" s="91"/>
      <c r="G16" s="27">
        <v>4527600</v>
      </c>
      <c r="H16" s="23" t="s">
        <v>4</v>
      </c>
      <c r="I16" s="2"/>
    </row>
    <row r="17" spans="1:9" x14ac:dyDescent="0.25">
      <c r="A17" s="2"/>
      <c r="B17" s="99" t="s">
        <v>185</v>
      </c>
      <c r="C17" s="100"/>
      <c r="D17" s="100"/>
      <c r="E17" s="100"/>
      <c r="F17" s="101"/>
      <c r="G17" s="21">
        <f>G15-G16</f>
        <v>-597320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5" t="s">
        <v>186</v>
      </c>
      <c r="C20" s="106"/>
      <c r="D20" s="106"/>
      <c r="E20" s="106"/>
      <c r="F20" s="106"/>
      <c r="G20" s="106"/>
      <c r="H20" s="107"/>
      <c r="I20" s="2"/>
    </row>
    <row r="21" spans="1:9" x14ac:dyDescent="0.25">
      <c r="A21" s="2"/>
      <c r="B21" s="89" t="s">
        <v>84</v>
      </c>
      <c r="C21" s="90"/>
      <c r="D21" s="90"/>
      <c r="E21" s="90"/>
      <c r="F21" s="91"/>
      <c r="G21" s="27">
        <v>32519</v>
      </c>
      <c r="H21" s="23" t="s">
        <v>4</v>
      </c>
      <c r="I21" s="2"/>
    </row>
    <row r="22" spans="1:9" x14ac:dyDescent="0.25">
      <c r="A22" s="2"/>
      <c r="B22" s="89" t="s">
        <v>85</v>
      </c>
      <c r="C22" s="90"/>
      <c r="D22" s="90"/>
      <c r="E22" s="90"/>
      <c r="F22" s="91"/>
      <c r="G22" s="27">
        <v>385000</v>
      </c>
      <c r="H22" s="23" t="s">
        <v>4</v>
      </c>
      <c r="I22" s="2"/>
    </row>
    <row r="23" spans="1:9" x14ac:dyDescent="0.25">
      <c r="A23" s="2"/>
      <c r="B23" s="99" t="s">
        <v>186</v>
      </c>
      <c r="C23" s="100"/>
      <c r="D23" s="100"/>
      <c r="E23" s="100"/>
      <c r="F23" s="101"/>
      <c r="G23" s="21">
        <f>G21-G22</f>
        <v>-352481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5" t="s">
        <v>187</v>
      </c>
      <c r="C26" s="106"/>
      <c r="D26" s="106"/>
      <c r="E26" s="106"/>
      <c r="F26" s="106"/>
      <c r="G26" s="106"/>
      <c r="H26" s="107"/>
      <c r="I26" s="2"/>
    </row>
    <row r="27" spans="1:9" ht="29.25" customHeight="1" x14ac:dyDescent="0.25">
      <c r="A27" s="2"/>
      <c r="B27" s="86" t="s">
        <v>86</v>
      </c>
      <c r="C27" s="87"/>
      <c r="D27" s="87"/>
      <c r="E27" s="87"/>
      <c r="F27" s="88"/>
      <c r="G27" s="27">
        <v>0</v>
      </c>
      <c r="H27" s="23" t="s">
        <v>4</v>
      </c>
      <c r="I27" s="2"/>
    </row>
    <row r="28" spans="1:9" x14ac:dyDescent="0.25">
      <c r="A28" s="2"/>
      <c r="B28" s="89" t="s">
        <v>87</v>
      </c>
      <c r="C28" s="90"/>
      <c r="D28" s="90"/>
      <c r="E28" s="90"/>
      <c r="F28" s="91"/>
      <c r="G28" s="27">
        <v>0</v>
      </c>
      <c r="H28" s="23" t="s">
        <v>4</v>
      </c>
      <c r="I28" s="2"/>
    </row>
    <row r="29" spans="1:9" ht="15" customHeight="1" x14ac:dyDescent="0.25">
      <c r="A29" s="2"/>
      <c r="B29" s="105" t="s">
        <v>187</v>
      </c>
      <c r="C29" s="106"/>
      <c r="D29" s="106"/>
      <c r="E29" s="106"/>
      <c r="F29" s="107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5" t="s">
        <v>88</v>
      </c>
      <c r="C32" s="106"/>
      <c r="D32" s="106"/>
      <c r="E32" s="106"/>
      <c r="F32" s="106"/>
      <c r="G32" s="106"/>
      <c r="H32" s="107"/>
      <c r="I32" s="2"/>
    </row>
    <row r="33" spans="1:9" x14ac:dyDescent="0.25">
      <c r="A33" s="2"/>
      <c r="B33" s="89" t="s">
        <v>89</v>
      </c>
      <c r="C33" s="90"/>
      <c r="D33" s="90"/>
      <c r="E33" s="90"/>
      <c r="F33" s="91"/>
      <c r="G33" s="12">
        <f>'Fane 8. Gen. inv. i 2016'!F25</f>
        <v>851330.78333333344</v>
      </c>
      <c r="H33" s="23" t="s">
        <v>4</v>
      </c>
      <c r="I33" s="2"/>
    </row>
    <row r="34" spans="1:9" x14ac:dyDescent="0.25">
      <c r="A34" s="2"/>
      <c r="B34" s="89" t="s">
        <v>90</v>
      </c>
      <c r="C34" s="90"/>
      <c r="D34" s="90"/>
      <c r="E34" s="90"/>
      <c r="F34" s="91"/>
      <c r="G34" s="27">
        <v>1011333.3333333334</v>
      </c>
      <c r="H34" s="23" t="s">
        <v>4</v>
      </c>
      <c r="I34" s="2"/>
    </row>
    <row r="35" spans="1:9" x14ac:dyDescent="0.25">
      <c r="A35" s="2"/>
      <c r="B35" s="99" t="s">
        <v>88</v>
      </c>
      <c r="C35" s="100"/>
      <c r="D35" s="100"/>
      <c r="E35" s="100"/>
      <c r="F35" s="101"/>
      <c r="G35" s="21">
        <f>G33-G34</f>
        <v>-160002.54999999993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99" t="s">
        <v>188</v>
      </c>
      <c r="C38" s="100"/>
      <c r="D38" s="100"/>
      <c r="E38" s="100"/>
      <c r="F38" s="100"/>
      <c r="G38" s="100"/>
      <c r="H38" s="101"/>
      <c r="I38" s="2"/>
    </row>
    <row r="39" spans="1:9" x14ac:dyDescent="0.25">
      <c r="A39" s="2"/>
      <c r="B39" s="89" t="s">
        <v>146</v>
      </c>
      <c r="C39" s="90"/>
      <c r="D39" s="90"/>
      <c r="E39" s="90"/>
      <c r="F39" s="91"/>
      <c r="G39" s="27">
        <v>0</v>
      </c>
      <c r="H39" s="23" t="s">
        <v>4</v>
      </c>
      <c r="I39" s="2"/>
    </row>
    <row r="40" spans="1:9" x14ac:dyDescent="0.25">
      <c r="A40" s="2"/>
      <c r="B40" s="89" t="s">
        <v>79</v>
      </c>
      <c r="C40" s="90"/>
      <c r="D40" s="90"/>
      <c r="E40" s="90"/>
      <c r="F40" s="91"/>
      <c r="G40" s="27">
        <v>317535.33146000392</v>
      </c>
      <c r="H40" s="23" t="s">
        <v>4</v>
      </c>
      <c r="I40" s="2"/>
    </row>
    <row r="41" spans="1:9" x14ac:dyDescent="0.25">
      <c r="A41" s="2"/>
      <c r="B41" s="99" t="s">
        <v>188</v>
      </c>
      <c r="C41" s="100"/>
      <c r="D41" s="100"/>
      <c r="E41" s="100"/>
      <c r="F41" s="101"/>
      <c r="G41" s="21">
        <f>G39-G40</f>
        <v>-317535.33146000392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91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92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93</v>
      </c>
      <c r="C9" s="97"/>
      <c r="D9" s="97"/>
      <c r="E9" s="97"/>
      <c r="F9" s="98"/>
      <c r="G9" s="26">
        <v>70551031.439528838</v>
      </c>
      <c r="H9" s="38" t="s">
        <v>4</v>
      </c>
      <c r="I9" s="2"/>
    </row>
    <row r="10" spans="1:9" x14ac:dyDescent="0.25">
      <c r="A10" s="2"/>
      <c r="B10" s="99" t="s">
        <v>94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28007366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95</v>
      </c>
      <c r="C12" s="90"/>
      <c r="D12" s="91"/>
      <c r="E12" s="27">
        <v>4079569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96</v>
      </c>
      <c r="C13" s="90"/>
      <c r="D13" s="91"/>
      <c r="E13" s="27">
        <v>-217571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97</v>
      </c>
      <c r="C14" s="90"/>
      <c r="D14" s="91"/>
      <c r="E14" s="27">
        <v>2152500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34021864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10186016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10186016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-9365004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-7891412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-17256416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26951464</v>
      </c>
      <c r="F28" s="38" t="s">
        <v>4</v>
      </c>
      <c r="G28" s="1">
        <f>IF(E28&lt;0,0,-E28)</f>
        <v>-26951464</v>
      </c>
      <c r="H28" s="38" t="s">
        <v>4</v>
      </c>
      <c r="I28" s="2"/>
    </row>
    <row r="29" spans="1:9" x14ac:dyDescent="0.25">
      <c r="A29" s="2"/>
      <c r="B29" s="99" t="s">
        <v>98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98</v>
      </c>
      <c r="C30" s="97"/>
      <c r="D30" s="98"/>
      <c r="E30" s="26">
        <v>1853435.4395288378</v>
      </c>
      <c r="F30" s="38" t="s">
        <v>4</v>
      </c>
      <c r="G30" s="18">
        <f>-$E$30</f>
        <v>-1853435.4395288378</v>
      </c>
      <c r="H30" s="38" t="s">
        <v>4</v>
      </c>
      <c r="I30" s="2"/>
    </row>
    <row r="31" spans="1:9" x14ac:dyDescent="0.25">
      <c r="A31" s="2"/>
      <c r="B31" s="117" t="s">
        <v>57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58</v>
      </c>
      <c r="C32" s="87"/>
      <c r="D32" s="88"/>
      <c r="E32" s="27">
        <v>39442937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2303195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41746132</v>
      </c>
      <c r="F35" s="38" t="s">
        <v>4</v>
      </c>
      <c r="G35" s="18">
        <f>-E35</f>
        <v>-41746132</v>
      </c>
      <c r="H35" s="38" t="s">
        <v>4</v>
      </c>
      <c r="I35" s="2"/>
    </row>
    <row r="36" spans="1:9" x14ac:dyDescent="0.25">
      <c r="A36" s="2"/>
      <c r="B36" s="99" t="s">
        <v>99</v>
      </c>
      <c r="C36" s="100"/>
      <c r="D36" s="100"/>
      <c r="E36" s="100"/>
      <c r="F36" s="101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128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180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118</v>
      </c>
      <c r="C9" s="94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118" t="s">
        <v>181</v>
      </c>
      <c r="C10" s="11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135</v>
      </c>
      <c r="C11" s="10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9" t="s">
        <v>148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9" t="s">
        <v>176</v>
      </c>
      <c r="C15" s="100"/>
      <c r="D15" s="100"/>
      <c r="E15" s="100"/>
      <c r="F15" s="100"/>
      <c r="G15" s="101"/>
      <c r="H15" s="2"/>
    </row>
    <row r="16" spans="1:8" ht="15" customHeight="1" x14ac:dyDescent="0.25">
      <c r="A16" s="2"/>
      <c r="B16" s="92" t="s">
        <v>194</v>
      </c>
      <c r="C16" s="93"/>
      <c r="D16" s="93"/>
      <c r="E16" s="94"/>
      <c r="F16" s="116" t="s">
        <v>177</v>
      </c>
      <c r="G16" s="116"/>
      <c r="H16" s="2"/>
    </row>
    <row r="17" spans="1:8" x14ac:dyDescent="0.25">
      <c r="A17" s="2"/>
      <c r="B17" s="89" t="s">
        <v>190</v>
      </c>
      <c r="C17" s="90"/>
      <c r="D17" s="90"/>
      <c r="E17" s="91"/>
      <c r="F17" s="27">
        <v>0</v>
      </c>
      <c r="G17" s="23" t="s">
        <v>4</v>
      </c>
      <c r="H17" s="2"/>
    </row>
    <row r="18" spans="1:8" x14ac:dyDescent="0.25">
      <c r="A18" s="2"/>
      <c r="B18" s="99" t="s">
        <v>178</v>
      </c>
      <c r="C18" s="100"/>
      <c r="D18" s="100"/>
      <c r="E18" s="101"/>
      <c r="F18" s="21">
        <f>SUM(F17:F17)</f>
        <v>0</v>
      </c>
      <c r="G18" s="22" t="s">
        <v>4</v>
      </c>
      <c r="H18" s="2"/>
    </row>
    <row r="19" spans="1:8" x14ac:dyDescent="0.25">
      <c r="A19" s="2"/>
      <c r="B19" s="99" t="s">
        <v>179</v>
      </c>
      <c r="C19" s="100"/>
      <c r="D19" s="100"/>
      <c r="E19" s="101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120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119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121</v>
      </c>
      <c r="C9" s="46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35" t="s">
        <v>189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130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147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60</v>
      </c>
      <c r="C9" s="87"/>
      <c r="D9" s="88"/>
      <c r="E9" s="8">
        <f>'Fane 3. Korrigeret grundlag'!G12</f>
        <v>60677780.750390776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917373.74528887356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123</v>
      </c>
      <c r="C11" s="90"/>
      <c r="D11" s="91"/>
      <c r="E11" s="12">
        <f>'Fane 4. Ikke-påvirkelige omk.'!G19</f>
        <v>4109.1037459999916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192</v>
      </c>
      <c r="C12" s="49"/>
      <c r="D12" s="50"/>
      <c r="E12" s="12">
        <f>'Fane 5. Individuelt eff.krav'!G10</f>
        <v>-781865.98524204874</v>
      </c>
      <c r="F12" s="9" t="s">
        <v>4</v>
      </c>
      <c r="G12" s="13"/>
      <c r="H12" s="14"/>
      <c r="I12" s="2"/>
    </row>
    <row r="13" spans="1:9" x14ac:dyDescent="0.25">
      <c r="A13" s="2"/>
      <c r="B13" s="95" t="s">
        <v>172</v>
      </c>
      <c r="C13" s="102"/>
      <c r="D13" s="103"/>
      <c r="E13" s="12">
        <f>'Fane 3. Korrigeret grundlag'!G22</f>
        <v>416435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131</v>
      </c>
      <c r="C14" s="87"/>
      <c r="D14" s="88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132</v>
      </c>
      <c r="C15" s="87"/>
      <c r="D15" s="88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176</v>
      </c>
      <c r="C16" s="87"/>
      <c r="D16" s="88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133</v>
      </c>
      <c r="C17" s="87"/>
      <c r="D17" s="88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6" t="s">
        <v>134</v>
      </c>
      <c r="C18" s="87"/>
      <c r="D18" s="88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5" t="s">
        <v>125</v>
      </c>
      <c r="C20" s="90"/>
      <c r="D20" s="91"/>
      <c r="E20" s="12">
        <f>SUM(E9,E11:E18)*(E19/100)</f>
        <v>1055538.0302056577</v>
      </c>
      <c r="F20" s="9" t="s">
        <v>4</v>
      </c>
      <c r="G20" s="13"/>
      <c r="H20" s="14"/>
      <c r="I20" s="2"/>
    </row>
    <row r="21" spans="1:9" x14ac:dyDescent="0.25">
      <c r="A21" s="2"/>
      <c r="B21" s="89" t="s">
        <v>15</v>
      </c>
      <c r="C21" s="90"/>
      <c r="D21" s="91"/>
      <c r="E21" s="12">
        <f>'Fane 5. Individuelt eff.krav'!G12</f>
        <v>286824.36979222827</v>
      </c>
      <c r="F21" s="9" t="s">
        <v>4</v>
      </c>
      <c r="G21" s="15"/>
      <c r="H21" s="14"/>
      <c r="I21" s="2"/>
    </row>
    <row r="22" spans="1:9" x14ac:dyDescent="0.25">
      <c r="A22" s="2"/>
      <c r="B22" s="89" t="s">
        <v>16</v>
      </c>
      <c r="C22" s="90"/>
      <c r="D22" s="91"/>
      <c r="E22" s="12">
        <f>'Fane 6. Generelt eff.krav'!G17</f>
        <v>1112595.3013158552</v>
      </c>
      <c r="F22" s="9" t="s">
        <v>4</v>
      </c>
      <c r="G22" s="16"/>
      <c r="H22" s="17"/>
      <c r="I22" s="2"/>
    </row>
    <row r="23" spans="1:9" x14ac:dyDescent="0.25">
      <c r="A23" s="2"/>
      <c r="B23" s="96" t="s">
        <v>182</v>
      </c>
      <c r="C23" s="97"/>
      <c r="D23" s="98"/>
      <c r="E23" s="18">
        <f>SUM(E9,E11:E18,E20)-SUM(E21:E22)</f>
        <v>59972577.227992304</v>
      </c>
      <c r="F23" s="19" t="s">
        <v>4</v>
      </c>
      <c r="G23" s="18">
        <f>E23</f>
        <v>59972577.227992304</v>
      </c>
      <c r="H23" s="19" t="s">
        <v>4</v>
      </c>
      <c r="I23" s="2"/>
    </row>
    <row r="24" spans="1:9" x14ac:dyDescent="0.25">
      <c r="A24" s="2"/>
      <c r="B24" s="99" t="s">
        <v>17</v>
      </c>
      <c r="C24" s="100"/>
      <c r="D24" s="100"/>
      <c r="E24" s="100"/>
      <c r="F24" s="100"/>
      <c r="G24" s="100"/>
      <c r="H24" s="101"/>
      <c r="I24" s="2"/>
    </row>
    <row r="25" spans="1:9" x14ac:dyDescent="0.25">
      <c r="A25" s="2"/>
      <c r="B25" s="92" t="s">
        <v>55</v>
      </c>
      <c r="C25" s="93"/>
      <c r="D25" s="94"/>
      <c r="E25" s="18">
        <f>'Fane 7. Hist. over el. underdæk'!G13</f>
        <v>1050614.2072310403</v>
      </c>
      <c r="F25" s="19" t="s">
        <v>4</v>
      </c>
      <c r="G25" s="18">
        <f>E25</f>
        <v>1050614.2072310403</v>
      </c>
      <c r="H25" s="19" t="s">
        <v>4</v>
      </c>
      <c r="I25" s="2"/>
    </row>
    <row r="26" spans="1:9" x14ac:dyDescent="0.25">
      <c r="A26" s="2"/>
      <c r="B26" s="99" t="s">
        <v>100</v>
      </c>
      <c r="C26" s="100"/>
      <c r="D26" s="100"/>
      <c r="E26" s="100"/>
      <c r="F26" s="100"/>
      <c r="G26" s="100"/>
      <c r="H26" s="101"/>
      <c r="I26" s="2"/>
    </row>
    <row r="27" spans="1:9" x14ac:dyDescent="0.25">
      <c r="A27" s="2"/>
      <c r="B27" s="86" t="s">
        <v>107</v>
      </c>
      <c r="C27" s="87"/>
      <c r="D27" s="88"/>
      <c r="E27" s="12">
        <f>'Fane 9. Korrektion af PL2016'!G11</f>
        <v>-118327</v>
      </c>
      <c r="F27" s="9" t="s">
        <v>4</v>
      </c>
      <c r="G27" s="20"/>
      <c r="H27" s="11"/>
      <c r="I27" s="2"/>
    </row>
    <row r="28" spans="1:9" x14ac:dyDescent="0.25">
      <c r="A28" s="2"/>
      <c r="B28" s="86" t="s">
        <v>101</v>
      </c>
      <c r="C28" s="87"/>
      <c r="D28" s="88"/>
      <c r="E28" s="12">
        <f>'Fane 9. Korrektion af PL2016'!G17</f>
        <v>-597320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6" t="s">
        <v>102</v>
      </c>
      <c r="C29" s="87"/>
      <c r="D29" s="88"/>
      <c r="E29" s="12">
        <f>'Fane 9. Korrektion af PL2016'!G23</f>
        <v>-352481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6" t="s">
        <v>103</v>
      </c>
      <c r="C30" s="87"/>
      <c r="D30" s="88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6" t="s">
        <v>104</v>
      </c>
      <c r="C31" s="87"/>
      <c r="D31" s="88"/>
      <c r="E31" s="12">
        <f>'Fane 9. Korrektion af PL2016'!G35</f>
        <v>-160002.54999999993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86" t="s">
        <v>78</v>
      </c>
      <c r="C32" s="87"/>
      <c r="D32" s="88"/>
      <c r="E32" s="12">
        <f>'Fane 9. Korrektion af PL2016'!G41</f>
        <v>-317535.33146000392</v>
      </c>
      <c r="F32" s="9" t="s">
        <v>4</v>
      </c>
      <c r="G32" s="16"/>
      <c r="H32" s="17"/>
      <c r="I32" s="2"/>
    </row>
    <row r="33" spans="1:9" x14ac:dyDescent="0.25">
      <c r="A33" s="2"/>
      <c r="B33" s="92" t="s">
        <v>105</v>
      </c>
      <c r="C33" s="93"/>
      <c r="D33" s="94"/>
      <c r="E33" s="18">
        <f>SUM(E27:E32)</f>
        <v>-1545665.8814600038</v>
      </c>
      <c r="F33" s="19" t="s">
        <v>4</v>
      </c>
      <c r="G33" s="18">
        <f>E33</f>
        <v>-1545665.8814600038</v>
      </c>
      <c r="H33" s="19" t="s">
        <v>4</v>
      </c>
      <c r="I33" s="2"/>
    </row>
    <row r="34" spans="1:9" x14ac:dyDescent="0.25">
      <c r="A34" s="2"/>
      <c r="B34" s="99" t="s">
        <v>18</v>
      </c>
      <c r="C34" s="100"/>
      <c r="D34" s="100"/>
      <c r="E34" s="100"/>
      <c r="F34" s="100"/>
      <c r="G34" s="100"/>
      <c r="H34" s="101"/>
      <c r="I34" s="2"/>
    </row>
    <row r="35" spans="1:9" x14ac:dyDescent="0.25">
      <c r="A35" s="2"/>
      <c r="B35" s="92" t="s">
        <v>106</v>
      </c>
      <c r="C35" s="93"/>
      <c r="D35" s="94"/>
      <c r="E35" s="18">
        <f>'Fane 10. Kontrol af PL2016'!G36</f>
        <v>0</v>
      </c>
      <c r="F35" s="19" t="s">
        <v>4</v>
      </c>
      <c r="G35" s="18">
        <f>E35</f>
        <v>0</v>
      </c>
      <c r="H35" s="19" t="s">
        <v>4</v>
      </c>
      <c r="I35" s="2"/>
    </row>
    <row r="36" spans="1:9" x14ac:dyDescent="0.25">
      <c r="A36" s="2"/>
      <c r="B36" s="99" t="s">
        <v>62</v>
      </c>
      <c r="C36" s="100"/>
      <c r="D36" s="100"/>
      <c r="E36" s="100"/>
      <c r="F36" s="101"/>
      <c r="G36" s="21">
        <f>G23+G25+G33+G35</f>
        <v>59477525.553763337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110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108</v>
      </c>
      <c r="C9" s="87"/>
      <c r="D9" s="88"/>
      <c r="E9" s="8">
        <f>'Fane 2.1. Økonomisk ramme 2018'!G23-'Fane 2.1. Økonomisk ramme 2018'!E13*(1+0.0175)*(1-0.02-'Fane 5. Individuelt eff.krav'!G11/100)</f>
        <v>59559340.074639492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2018'!E16))*(1+'Fane 2.1. Økonomisk ramme 2018'!E19/100)</f>
        <v>937608.79889298393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172</v>
      </c>
      <c r="C11" s="59"/>
      <c r="D11" s="60"/>
      <c r="E11" s="12">
        <v>369390</v>
      </c>
      <c r="F11" s="9" t="s">
        <v>4</v>
      </c>
      <c r="G11" s="13"/>
      <c r="H11" s="14"/>
      <c r="I11" s="2"/>
    </row>
    <row r="12" spans="1:9" x14ac:dyDescent="0.25">
      <c r="A12" s="2"/>
      <c r="B12" s="89" t="s">
        <v>61</v>
      </c>
      <c r="C12" s="90"/>
      <c r="D12" s="91"/>
      <c r="E12" s="12">
        <f>($E$9+E11)*'Fane 2.1. Økonomisk ramme 2018'!E19/100</f>
        <v>1048752.776306191</v>
      </c>
      <c r="F12" s="9" t="s">
        <v>4</v>
      </c>
      <c r="G12" s="15"/>
      <c r="H12" s="14"/>
      <c r="I12" s="2"/>
    </row>
    <row r="13" spans="1:9" x14ac:dyDescent="0.25">
      <c r="A13" s="2"/>
      <c r="B13" s="89" t="s">
        <v>15</v>
      </c>
      <c r="C13" s="90"/>
      <c r="D13" s="91"/>
      <c r="E13" s="12">
        <f>($E$9+E11-$E$10)*(1+'Fane 2.1. Økonomisk ramme 2018'!E19/100)*'Fane 5. Individuelt eff.krav'!$G$11/100</f>
        <v>284874.11422803404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1118683.1331883883</v>
      </c>
      <c r="F14" s="9" t="s">
        <v>4</v>
      </c>
      <c r="G14" s="16"/>
      <c r="H14" s="17"/>
      <c r="I14" s="2"/>
    </row>
    <row r="15" spans="1:9" x14ac:dyDescent="0.25">
      <c r="A15" s="2"/>
      <c r="B15" s="96" t="s">
        <v>182</v>
      </c>
      <c r="C15" s="97"/>
      <c r="D15" s="98"/>
      <c r="E15" s="18">
        <f>$E$9+$E$12-$E$13-$E$14+E11</f>
        <v>59573925.60352926</v>
      </c>
      <c r="F15" s="19" t="s">
        <v>4</v>
      </c>
      <c r="G15" s="18">
        <f>E15</f>
        <v>59573925.60352926</v>
      </c>
      <c r="H15" s="19" t="s">
        <v>4</v>
      </c>
      <c r="I15" s="2"/>
    </row>
    <row r="16" spans="1:9" x14ac:dyDescent="0.25">
      <c r="A16" s="2"/>
      <c r="B16" s="99" t="s">
        <v>17</v>
      </c>
      <c r="C16" s="100"/>
      <c r="D16" s="100"/>
      <c r="E16" s="100"/>
      <c r="F16" s="100"/>
      <c r="G16" s="100"/>
      <c r="H16" s="101"/>
      <c r="I16" s="2"/>
    </row>
    <row r="17" spans="1:9" ht="15" customHeight="1" x14ac:dyDescent="0.25">
      <c r="A17" s="2"/>
      <c r="B17" s="92" t="s">
        <v>55</v>
      </c>
      <c r="C17" s="93"/>
      <c r="D17" s="94"/>
      <c r="E17" s="18">
        <f>IF('Fane 7. Hist. over el. underdæk'!$G$12&gt;1,'Fane 7. Hist. over el. underdæk'!$G$13,0)</f>
        <v>1050614.2072310403</v>
      </c>
      <c r="F17" s="19" t="s">
        <v>4</v>
      </c>
      <c r="G17" s="18">
        <f>E17</f>
        <v>1050614.2072310403</v>
      </c>
      <c r="H17" s="19" t="s">
        <v>4</v>
      </c>
      <c r="I17" s="2"/>
    </row>
    <row r="18" spans="1:9" x14ac:dyDescent="0.25">
      <c r="A18" s="2"/>
      <c r="B18" s="99" t="s">
        <v>109</v>
      </c>
      <c r="C18" s="100"/>
      <c r="D18" s="100"/>
      <c r="E18" s="100"/>
      <c r="F18" s="101"/>
      <c r="G18" s="21">
        <f>G15+G17</f>
        <v>60624539.810760297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141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112</v>
      </c>
      <c r="C9" s="90"/>
      <c r="D9" s="90"/>
      <c r="E9" s="90"/>
      <c r="F9" s="91"/>
      <c r="G9" s="27">
        <v>18056740.171149153</v>
      </c>
      <c r="H9" s="23" t="s">
        <v>4</v>
      </c>
      <c r="I9" s="2"/>
    </row>
    <row r="10" spans="1:9" x14ac:dyDescent="0.25">
      <c r="A10" s="2"/>
      <c r="B10" s="89" t="s">
        <v>113</v>
      </c>
      <c r="C10" s="90"/>
      <c r="D10" s="90"/>
      <c r="E10" s="90"/>
      <c r="F10" s="91"/>
      <c r="G10" s="27">
        <v>41703666.833952747</v>
      </c>
      <c r="H10" s="23" t="s">
        <v>4</v>
      </c>
      <c r="I10" s="2"/>
    </row>
    <row r="11" spans="1:9" x14ac:dyDescent="0.25">
      <c r="A11" s="2"/>
      <c r="B11" s="89" t="s">
        <v>140</v>
      </c>
      <c r="C11" s="90"/>
      <c r="D11" s="90"/>
      <c r="E11" s="90"/>
      <c r="F11" s="91"/>
      <c r="G11" s="27">
        <v>917373.74528887356</v>
      </c>
      <c r="H11" s="23" t="s">
        <v>4</v>
      </c>
      <c r="I11" s="2"/>
    </row>
    <row r="12" spans="1:9" ht="17.25" customHeight="1" x14ac:dyDescent="0.25">
      <c r="A12" s="2"/>
      <c r="B12" s="105" t="s">
        <v>145</v>
      </c>
      <c r="C12" s="106"/>
      <c r="D12" s="106"/>
      <c r="E12" s="106"/>
      <c r="F12" s="107"/>
      <c r="G12" s="21">
        <f>SUM(G9:G11)</f>
        <v>60677780.750390776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99" t="s">
        <v>172</v>
      </c>
      <c r="C19" s="100"/>
      <c r="D19" s="100"/>
      <c r="E19" s="100"/>
      <c r="F19" s="100"/>
      <c r="G19" s="100"/>
      <c r="H19" s="101"/>
      <c r="I19" s="2"/>
    </row>
    <row r="20" spans="1:9" x14ac:dyDescent="0.25">
      <c r="A20" s="2"/>
      <c r="B20" s="89" t="s">
        <v>173</v>
      </c>
      <c r="C20" s="90"/>
      <c r="D20" s="90"/>
      <c r="E20" s="90"/>
      <c r="F20" s="91"/>
      <c r="G20" s="27">
        <v>416435</v>
      </c>
      <c r="H20" s="23" t="s">
        <v>4</v>
      </c>
      <c r="I20" s="2"/>
    </row>
    <row r="21" spans="1:9" x14ac:dyDescent="0.25">
      <c r="A21" s="2"/>
      <c r="B21" s="89" t="s">
        <v>174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105" t="s">
        <v>175</v>
      </c>
      <c r="C22" s="106"/>
      <c r="D22" s="106"/>
      <c r="E22" s="106"/>
      <c r="F22" s="107"/>
      <c r="G22" s="21">
        <f>SUM(G20:G21)</f>
        <v>416435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114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115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117</v>
      </c>
      <c r="C9" s="93"/>
      <c r="D9" s="94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164</v>
      </c>
      <c r="C10" s="109"/>
      <c r="D10" s="109"/>
      <c r="E10" s="56">
        <v>18004.3226</v>
      </c>
      <c r="F10" s="23" t="s">
        <v>4</v>
      </c>
      <c r="G10" s="27">
        <v>18145</v>
      </c>
      <c r="H10" s="23" t="s">
        <v>4</v>
      </c>
      <c r="I10" s="2"/>
    </row>
    <row r="11" spans="1:9" x14ac:dyDescent="0.25">
      <c r="A11" s="2"/>
      <c r="B11" s="108" t="s">
        <v>165</v>
      </c>
      <c r="C11" s="109"/>
      <c r="D11" s="109"/>
      <c r="E11" s="56">
        <v>63682.084999999999</v>
      </c>
      <c r="F11" s="23" t="s">
        <v>4</v>
      </c>
      <c r="G11" s="27">
        <v>67717</v>
      </c>
      <c r="H11" s="23" t="s">
        <v>4</v>
      </c>
      <c r="I11" s="2"/>
    </row>
    <row r="12" spans="1:9" x14ac:dyDescent="0.25">
      <c r="A12" s="2"/>
      <c r="B12" s="108" t="s">
        <v>166</v>
      </c>
      <c r="C12" s="109"/>
      <c r="D12" s="109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167</v>
      </c>
      <c r="C13" s="109"/>
      <c r="D13" s="109"/>
      <c r="E13" s="56">
        <v>16199.208199999999</v>
      </c>
      <c r="F13" s="23" t="s">
        <v>4</v>
      </c>
      <c r="G13" s="27">
        <v>34169</v>
      </c>
      <c r="H13" s="23" t="s">
        <v>4</v>
      </c>
      <c r="I13" s="2"/>
    </row>
    <row r="14" spans="1:9" x14ac:dyDescent="0.25">
      <c r="A14" s="2"/>
      <c r="B14" s="108" t="s">
        <v>168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169</v>
      </c>
      <c r="C15" s="109"/>
      <c r="D15" s="109"/>
      <c r="E15" s="56">
        <v>807982.95299999998</v>
      </c>
      <c r="F15" s="23" t="s">
        <v>4</v>
      </c>
      <c r="G15" s="27">
        <v>789876</v>
      </c>
      <c r="H15" s="23" t="s">
        <v>4</v>
      </c>
      <c r="I15" s="2"/>
    </row>
    <row r="16" spans="1:9" x14ac:dyDescent="0.25">
      <c r="A16" s="2"/>
      <c r="B16" s="108" t="s">
        <v>170</v>
      </c>
      <c r="C16" s="109"/>
      <c r="D16" s="109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8" t="s">
        <v>171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9" t="s">
        <v>136</v>
      </c>
      <c r="C18" s="100"/>
      <c r="D18" s="100"/>
      <c r="E18" s="100"/>
      <c r="F18" s="101"/>
      <c r="G18" s="21">
        <f>SUM(G10:G17)-SUM(E10:E17)</f>
        <v>4038.4311999999918</v>
      </c>
      <c r="H18" s="22" t="s">
        <v>4</v>
      </c>
      <c r="I18" s="2"/>
    </row>
    <row r="19" spans="1:9" x14ac:dyDescent="0.25">
      <c r="A19" s="2"/>
      <c r="B19" s="99" t="s">
        <v>137</v>
      </c>
      <c r="C19" s="100"/>
      <c r="D19" s="100"/>
      <c r="E19" s="100"/>
      <c r="F19" s="101"/>
      <c r="G19" s="21">
        <f>G18*(1+'Fane 2.1. Økonomisk ramme 2018'!E19/100)</f>
        <v>4109.1037459999916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2018'!E13:E15,'Fane 2.1. Økonomisk ramme 2018'!E17:E18)</f>
        <v>60176842.005101904</v>
      </c>
      <c r="H9" s="23" t="s">
        <v>4</v>
      </c>
      <c r="I9" s="2"/>
    </row>
    <row r="10" spans="1:9" x14ac:dyDescent="0.25">
      <c r="A10" s="2"/>
      <c r="B10" s="48" t="s">
        <v>192</v>
      </c>
      <c r="C10" s="49"/>
      <c r="D10" s="49"/>
      <c r="E10" s="49"/>
      <c r="F10" s="50"/>
      <c r="G10" s="12">
        <v>-781865.98524204874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0.47460457333768202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2018'!E19/100)*($G$11/100)</f>
        <v>286824.36979222827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2018'!E14,'Fane 2.1. Økonomisk ramme 2018'!E17))</f>
        <v>18473175.171149153</v>
      </c>
      <c r="H9" s="23" t="s">
        <v>4</v>
      </c>
      <c r="I9" s="2"/>
    </row>
    <row r="10" spans="1:9" x14ac:dyDescent="0.25">
      <c r="A10" s="2"/>
      <c r="B10" s="52" t="s">
        <v>191</v>
      </c>
      <c r="C10" s="53"/>
      <c r="D10" s="53"/>
      <c r="E10" s="53"/>
      <c r="F10" s="54"/>
      <c r="G10" s="12">
        <v>-370798.45639610669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2018'!E19/100)*$G$11/100</f>
        <v>368383.36614522449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>'Fane 3. Korrigeret grundlag'!G10+SUM('Fane 2.1. Økonomisk ramme 2018'!E15,'Fane 2.1. Økonomisk ramme 2018'!E18)</f>
        <v>41703666.833952747</v>
      </c>
      <c r="H13" s="23" t="s">
        <v>4</v>
      </c>
      <c r="I13" s="2"/>
    </row>
    <row r="14" spans="1:9" x14ac:dyDescent="0.25">
      <c r="A14" s="2"/>
      <c r="B14" s="48" t="s">
        <v>193</v>
      </c>
      <c r="C14" s="49"/>
      <c r="D14" s="49"/>
      <c r="E14" s="49"/>
      <c r="F14" s="50"/>
      <c r="G14" s="12">
        <v>-380942.4668387922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2018'!E19/100)*$G$15/100</f>
        <v>744211.93517063069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1112595.3013158552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9646508</v>
      </c>
      <c r="H9" s="23" t="s">
        <v>4</v>
      </c>
      <c r="I9" s="2"/>
    </row>
    <row r="10" spans="1:9" x14ac:dyDescent="0.25">
      <c r="A10" s="2"/>
      <c r="B10" s="89" t="s">
        <v>122</v>
      </c>
      <c r="C10" s="90"/>
      <c r="D10" s="90"/>
      <c r="E10" s="90"/>
      <c r="F10" s="91"/>
      <c r="G10" s="27">
        <v>6494665.3783068787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3151842.6216931213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3</v>
      </c>
      <c r="H12" s="23" t="s">
        <v>127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1050614.2072310403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75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149</v>
      </c>
      <c r="C10" s="41">
        <v>2016</v>
      </c>
      <c r="D10" s="28">
        <v>75</v>
      </c>
      <c r="E10" s="27">
        <v>440422</v>
      </c>
      <c r="F10" s="12">
        <f>E10/D10</f>
        <v>5872.2933333333331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20</v>
      </c>
      <c r="E11" s="27">
        <v>3514471</v>
      </c>
      <c r="F11" s="12">
        <f t="shared" ref="F11:F24" si="0">E11/D11</f>
        <v>175723.55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75</v>
      </c>
      <c r="E12" s="27">
        <v>9784991</v>
      </c>
      <c r="F12" s="12">
        <f t="shared" si="0"/>
        <v>130466.54666666666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20</v>
      </c>
      <c r="E13" s="27">
        <v>506948</v>
      </c>
      <c r="F13" s="12">
        <f t="shared" si="0"/>
        <v>25347.4</v>
      </c>
      <c r="G13" s="23" t="s">
        <v>4</v>
      </c>
      <c r="H13" s="2"/>
    </row>
    <row r="14" spans="1:8" ht="39" x14ac:dyDescent="0.25">
      <c r="A14" s="2"/>
      <c r="B14" s="47" t="s">
        <v>153</v>
      </c>
      <c r="C14" s="41">
        <v>2016</v>
      </c>
      <c r="D14" s="28">
        <v>75</v>
      </c>
      <c r="E14" s="27">
        <v>1129486</v>
      </c>
      <c r="F14" s="12">
        <f t="shared" si="0"/>
        <v>15059.813333333334</v>
      </c>
      <c r="G14" s="23" t="s">
        <v>4</v>
      </c>
      <c r="H14" s="2"/>
    </row>
    <row r="15" spans="1:8" x14ac:dyDescent="0.25">
      <c r="A15" s="2"/>
      <c r="B15" s="47" t="s">
        <v>154</v>
      </c>
      <c r="C15" s="41">
        <v>2016</v>
      </c>
      <c r="D15" s="28">
        <v>50</v>
      </c>
      <c r="E15" s="27">
        <v>811166</v>
      </c>
      <c r="F15" s="12">
        <f t="shared" si="0"/>
        <v>16223.32</v>
      </c>
      <c r="G15" s="23" t="s">
        <v>4</v>
      </c>
      <c r="H15" s="2"/>
    </row>
    <row r="16" spans="1:8" x14ac:dyDescent="0.25">
      <c r="A16" s="2"/>
      <c r="B16" s="47" t="s">
        <v>155</v>
      </c>
      <c r="C16" s="41">
        <v>2016</v>
      </c>
      <c r="D16" s="28">
        <v>75</v>
      </c>
      <c r="E16" s="27">
        <v>13719376</v>
      </c>
      <c r="F16" s="12">
        <f t="shared" si="0"/>
        <v>182925.01333333334</v>
      </c>
      <c r="G16" s="23" t="s">
        <v>4</v>
      </c>
      <c r="H16" s="2"/>
    </row>
    <row r="17" spans="1:8" ht="26.25" x14ac:dyDescent="0.25">
      <c r="A17" s="2"/>
      <c r="B17" s="47" t="s">
        <v>156</v>
      </c>
      <c r="C17" s="41">
        <v>2016</v>
      </c>
      <c r="D17" s="28">
        <v>50</v>
      </c>
      <c r="E17" s="27">
        <v>5264879</v>
      </c>
      <c r="F17" s="12">
        <f t="shared" si="0"/>
        <v>105297.58</v>
      </c>
      <c r="G17" s="23" t="s">
        <v>4</v>
      </c>
      <c r="H17" s="2"/>
    </row>
    <row r="18" spans="1:8" x14ac:dyDescent="0.25">
      <c r="A18" s="2"/>
      <c r="B18" s="47" t="s">
        <v>157</v>
      </c>
      <c r="C18" s="41">
        <v>2016</v>
      </c>
      <c r="D18" s="28">
        <v>20</v>
      </c>
      <c r="E18" s="27">
        <v>864791</v>
      </c>
      <c r="F18" s="12">
        <f t="shared" si="0"/>
        <v>43239.55</v>
      </c>
      <c r="G18" s="23" t="s">
        <v>4</v>
      </c>
      <c r="H18" s="2"/>
    </row>
    <row r="19" spans="1:8" x14ac:dyDescent="0.25">
      <c r="A19" s="2"/>
      <c r="B19" s="47" t="s">
        <v>158</v>
      </c>
      <c r="C19" s="41">
        <v>2016</v>
      </c>
      <c r="D19" s="28">
        <v>60</v>
      </c>
      <c r="E19" s="27">
        <v>232500</v>
      </c>
      <c r="F19" s="12">
        <f t="shared" si="0"/>
        <v>3875</v>
      </c>
      <c r="G19" s="23" t="s">
        <v>4</v>
      </c>
      <c r="H19" s="2"/>
    </row>
    <row r="20" spans="1:8" x14ac:dyDescent="0.25">
      <c r="A20" s="2"/>
      <c r="B20" s="47" t="s">
        <v>159</v>
      </c>
      <c r="C20" s="41">
        <v>2016</v>
      </c>
      <c r="D20" s="28">
        <v>20</v>
      </c>
      <c r="E20" s="27">
        <v>490166</v>
      </c>
      <c r="F20" s="12">
        <f t="shared" si="0"/>
        <v>24508.3</v>
      </c>
      <c r="G20" s="23" t="s">
        <v>4</v>
      </c>
      <c r="H20" s="2"/>
    </row>
    <row r="21" spans="1:8" x14ac:dyDescent="0.25">
      <c r="A21" s="2"/>
      <c r="B21" s="47" t="s">
        <v>160</v>
      </c>
      <c r="C21" s="41">
        <v>2016</v>
      </c>
      <c r="D21" s="28">
        <v>75</v>
      </c>
      <c r="E21" s="27">
        <v>1650265</v>
      </c>
      <c r="F21" s="12">
        <f t="shared" si="0"/>
        <v>22003.533333333333</v>
      </c>
      <c r="G21" s="23" t="s">
        <v>4</v>
      </c>
      <c r="H21" s="2"/>
    </row>
    <row r="22" spans="1:8" ht="26.25" x14ac:dyDescent="0.25">
      <c r="A22" s="2"/>
      <c r="B22" s="47" t="s">
        <v>161</v>
      </c>
      <c r="C22" s="41">
        <v>2016</v>
      </c>
      <c r="D22" s="28">
        <v>30</v>
      </c>
      <c r="E22" s="27">
        <v>1384594</v>
      </c>
      <c r="F22" s="12">
        <f t="shared" si="0"/>
        <v>46153.133333333331</v>
      </c>
      <c r="G22" s="23" t="s">
        <v>4</v>
      </c>
      <c r="H22" s="2"/>
    </row>
    <row r="23" spans="1:8" ht="26.25" x14ac:dyDescent="0.25">
      <c r="A23" s="2"/>
      <c r="B23" s="47" t="s">
        <v>162</v>
      </c>
      <c r="C23" s="41">
        <v>2016</v>
      </c>
      <c r="D23" s="28">
        <v>20</v>
      </c>
      <c r="E23" s="27">
        <v>16371</v>
      </c>
      <c r="F23" s="12">
        <f t="shared" si="0"/>
        <v>818.55</v>
      </c>
      <c r="G23" s="23" t="s">
        <v>4</v>
      </c>
      <c r="H23" s="2"/>
    </row>
    <row r="24" spans="1:8" x14ac:dyDescent="0.25">
      <c r="A24" s="2"/>
      <c r="B24" s="47" t="s">
        <v>163</v>
      </c>
      <c r="C24" s="41">
        <v>2016</v>
      </c>
      <c r="D24" s="28">
        <v>5</v>
      </c>
      <c r="E24" s="27">
        <v>269086</v>
      </c>
      <c r="F24" s="12">
        <f t="shared" si="0"/>
        <v>53817.2</v>
      </c>
      <c r="G24" s="23" t="s">
        <v>4</v>
      </c>
      <c r="H24" s="2"/>
    </row>
    <row r="25" spans="1:8" x14ac:dyDescent="0.25">
      <c r="A25" s="2"/>
      <c r="B25" s="99" t="s">
        <v>76</v>
      </c>
      <c r="C25" s="100"/>
      <c r="D25" s="100"/>
      <c r="E25" s="101"/>
      <c r="F25" s="21">
        <f>SUM(F10:F24)</f>
        <v>851330.78333333344</v>
      </c>
      <c r="G25" s="22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2017-10-13T11:58:31Z</dcterms:modified>
</cp:coreProperties>
</file>