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E10" i="15" l="1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G20" i="19"/>
  <c r="G21" i="19" s="1"/>
  <c r="E11" i="2" s="1"/>
  <c r="F32" i="11" l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D11" i="20"/>
  <c r="D12" i="20" s="1"/>
  <c r="E14" i="2" s="1"/>
  <c r="E18" i="2"/>
  <c r="E17" i="2"/>
  <c r="F12" i="20" l="1"/>
  <c r="E15" i="2" s="1"/>
  <c r="E10" i="2" l="1"/>
  <c r="G12" i="7"/>
  <c r="E9" i="2" l="1"/>
  <c r="E15" i="13"/>
  <c r="F11" i="11"/>
  <c r="F33" i="11"/>
  <c r="E20" i="2" l="1"/>
  <c r="E17" i="15"/>
  <c r="G17" i="15" s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34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22" i="2" s="1"/>
  <c r="E32" i="2" l="1"/>
  <c r="G32" i="2" s="1"/>
  <c r="E21" i="2" l="1"/>
  <c r="E23" i="2" s="1"/>
  <c r="G23" i="2" l="1"/>
  <c r="G35" i="2" l="1"/>
  <c r="E12" i="15" l="1"/>
  <c r="E13" i="15"/>
  <c r="E15" i="15" l="1"/>
  <c r="G15" i="15" s="1"/>
  <c r="G18" i="15" s="1"/>
</calcChain>
</file>

<file path=xl/sharedStrings.xml><?xml version="1.0" encoding="utf-8"?>
<sst xmlns="http://schemas.openxmlformats.org/spreadsheetml/2006/main" count="396" uniqueCount="199">
  <si>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</si>
  <si>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</si>
  <si>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</si>
  <si>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</si>
  <si>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</si>
  <si>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</si>
  <si>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</si>
  <si>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</si>
  <si>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</si>
  <si>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</si>
  <si>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</si>
  <si>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</si>
  <si>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</si>
  <si>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</si>
  <si>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</si>
  <si>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</si>
  <si>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</si>
  <si>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</si>
  <si>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</si>
  <si>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</si>
  <si>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</si>
  <si>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</si>
  <si>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</si>
  <si>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</si>
  <si>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</si>
  <si>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</si>
  <si>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</si>
  <si>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</si>
  <si>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</si>
  <si>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</si>
  <si>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</si>
  <si>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</si>
  <si>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</si>
  <si>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</si>
  <si>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</si>
  <si>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</si>
  <si>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</si>
  <si>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</si>
  <si>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</si>
  <si>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</si>
  <si>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</si>
  <si>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</si>
  <si>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</si>
  <si>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</si>
  <si>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</si>
  <si>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</si>
  <si>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</si>
  <si>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</si>
  <si>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</si>
  <si>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</si>
  <si>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</si>
  <si>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</si>
  <si>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</si>
  <si>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</si>
  <si>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</si>
  <si>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</si>
  <si>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</si>
  <si>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</si>
  <si>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</si>
  <si>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</si>
  <si>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</si>
  <si>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</si>
  <si>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</si>
  <si>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</si>
  <si>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</si>
  <si>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</si>
  <si>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</si>
  <si>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</si>
  <si>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</si>
  <si>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</si>
  <si>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</si>
  <si>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</si>
  <si>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</si>
  <si>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</si>
  <si>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</si>
  <si>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</si>
  <si>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</si>
  <si>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</si>
  <si>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</si>
  <si>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</si>
  <si>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</si>
  <si>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</si>
  <si>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</si>
  <si>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</si>
  <si>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</si>
  <si>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</si>
  <si>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</si>
  <si>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</si>
  <si>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</si>
  <si>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</si>
  <si>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</si>
  <si>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</si>
  <si>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</si>
  <si>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</si>
  <si>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</si>
  <si>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</si>
  <si>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</si>
  <si>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</si>
  <si>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</si>
  <si>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</si>
  <si>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</si>
  <si>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</si>
  <si>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</si>
  <si>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</si>
  <si>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</si>
  <si>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</si>
  <si>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</si>
  <si>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</si>
  <si>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</si>
  <si>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</si>
  <si>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</si>
  <si>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</si>
  <si>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</si>
  <si>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</si>
  <si>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</si>
  <si>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</si>
  <si>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</si>
  <si>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</si>
  <si>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</si>
  <si>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</si>
  <si>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</si>
  <si>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</si>
  <si>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</si>
  <si>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</si>
  <si>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</si>
  <si>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</si>
  <si>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</si>
  <si>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</si>
  <si>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</si>
  <si>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</si>
  <si>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</si>
  <si>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</si>
  <si>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</si>
  <si>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</si>
  <si>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</si>
  <si>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</si>
  <si>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</si>
  <si>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</si>
  <si>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</si>
  <si>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</si>
  <si>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</si>
  <si>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</si>
  <si>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</si>
  <si>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</si>
  <si>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</si>
  <si>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</si>
  <si>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Ledningsnet ≤ Ø 200 mm</t>
  </si>
  <si>
    <t>Ø 200 mm &lt; Ledningsnet ≤ Ø 500 mm</t>
  </si>
  <si>
    <t>Brønde</t>
  </si>
  <si>
    <t>Pumpestationer m. overbygning (&lt; 20 m2), Konstruktioner</t>
  </si>
  <si>
    <t>Pumpestationer m. overbygning (&lt; 20 m2), Mek/EL</t>
  </si>
  <si>
    <t>Pumpestationer m. overbygning (&lt; 20 m2), SRO</t>
  </si>
  <si>
    <t>Jordbassin Klasse A</t>
  </si>
  <si>
    <t>Indløb-/udløbsarrangement</t>
  </si>
  <si>
    <t>Autoport og videoovervågning Nr.Snede Renseanlæg</t>
  </si>
  <si>
    <t>Affaldshåndteringsskur Ikast Renseanlæg</t>
  </si>
  <si>
    <t>Graveudstyr til gravemaskine</t>
  </si>
  <si>
    <t>Køretøjer, små lastvogne (&lt; 3.500 kg.)</t>
  </si>
  <si>
    <t>Køretøjer, entreprenørmaskiner</t>
  </si>
  <si>
    <t>Installationer "mekaniske riste og SRO" Miljøklasse A. (7-20 m2) - SRO</t>
  </si>
  <si>
    <t>Ø 500 mm &lt; Ledningsnet ≤ Ø 800 mm</t>
  </si>
  <si>
    <t>Ø 800 mm &lt; Ledningsnet ≤ Ø 1000 mm</t>
  </si>
  <si>
    <t>Strømpeforing ≤ Ø 200 mm</t>
  </si>
  <si>
    <t>Strømpeforing Ø 200 mm &lt; Ledningsnet ≤ Ø 500 mm</t>
  </si>
  <si>
    <t>Strømpeforing Ø 800 mm &lt; Ledningsnet ≤ Ø 1000 mm</t>
  </si>
  <si>
    <t>Pumpestationer i brønde (&lt; 6,25 m2), Mek/EL</t>
  </si>
  <si>
    <t>Pumpestationer i brønde (&lt; 6,25 m2),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</si>
  <si>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</si>
  <si>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</si>
  <si>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</si>
  <si>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</si>
  <si>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</si>
  <si>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</si>
  <si>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</si>
  <si>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</si>
  <si>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</si>
  <si>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 xml:space="preserve">Erstatninger </t>
  </si>
  <si>
    <t>Flyning af trykledning (§ 11, stk. 2)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</si>
  <si>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</si>
  <si>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</si>
  <si>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</si>
  <si>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</si>
  <si>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</si>
  <si>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</si>
  <si>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</si>
  <si>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</si>
  <si>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</si>
  <si>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</si>
  <si>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</si>
  <si>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</si>
  <si>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</si>
  <si>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</si>
  <si>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</si>
  <si>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</si>
  <si>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 xml:space="preserve">Tilbagebetaling af vejbidrag (§11, stk. 9) 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</si>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</sst>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5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8" fillId="10" borderId="3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  <xf numFmtId="49" fontId="8" fillId="10" borderId="10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5" t="s">
        <v>188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89" t="s">
        <v>78</v>
      </c>
      <c r="C9" s="90"/>
      <c r="D9" s="90"/>
      <c r="E9" s="90"/>
      <c r="F9" s="91"/>
      <c r="G9" s="27">
        <v>2271642</v>
      </c>
      <c r="H9" s="23" t="s">
        <v>4</v>
      </c>
      <c r="I9" s="2"/>
    </row>
    <row r="10" spans="1:9" x14ac:dyDescent="0.25">
      <c r="A10" s="2"/>
      <c r="B10" s="89" t="s">
        <v>79</v>
      </c>
      <c r="C10" s="90"/>
      <c r="D10" s="90"/>
      <c r="E10" s="90"/>
      <c r="F10" s="91"/>
      <c r="G10" s="27">
        <v>2663000</v>
      </c>
      <c r="H10" s="23" t="s">
        <v>4</v>
      </c>
      <c r="I10" s="2"/>
    </row>
    <row r="11" spans="1:9" x14ac:dyDescent="0.25">
      <c r="A11" s="2"/>
      <c r="B11" s="99" t="s">
        <v>189</v>
      </c>
      <c r="C11" s="100"/>
      <c r="D11" s="100"/>
      <c r="E11" s="100"/>
      <c r="F11" s="101"/>
      <c r="G11" s="21">
        <f>G9-G10</f>
        <v>-391358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5" t="s">
        <v>190</v>
      </c>
      <c r="C14" s="106"/>
      <c r="D14" s="106"/>
      <c r="E14" s="106"/>
      <c r="F14" s="106"/>
      <c r="G14" s="106"/>
      <c r="H14" s="107"/>
      <c r="I14" s="2"/>
    </row>
    <row r="15" spans="1:9" x14ac:dyDescent="0.25">
      <c r="A15" s="2"/>
      <c r="B15" s="89" t="s">
        <v>80</v>
      </c>
      <c r="C15" s="90"/>
      <c r="D15" s="90"/>
      <c r="E15" s="90"/>
      <c r="F15" s="91"/>
      <c r="G15" s="27">
        <v>733515.03</v>
      </c>
      <c r="H15" s="23" t="s">
        <v>4</v>
      </c>
      <c r="I15" s="2"/>
    </row>
    <row r="16" spans="1:9" x14ac:dyDescent="0.25">
      <c r="A16" s="2"/>
      <c r="B16" s="89" t="s">
        <v>81</v>
      </c>
      <c r="C16" s="90"/>
      <c r="D16" s="90"/>
      <c r="E16" s="90"/>
      <c r="F16" s="91"/>
      <c r="G16" s="27">
        <v>1025000</v>
      </c>
      <c r="H16" s="23" t="s">
        <v>4</v>
      </c>
      <c r="I16" s="2"/>
    </row>
    <row r="17" spans="1:9" x14ac:dyDescent="0.25">
      <c r="A17" s="2"/>
      <c r="B17" s="99" t="s">
        <v>190</v>
      </c>
      <c r="C17" s="100"/>
      <c r="D17" s="100"/>
      <c r="E17" s="100"/>
      <c r="F17" s="101"/>
      <c r="G17" s="21">
        <f>G15-G16</f>
        <v>-291484.96999999997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5" t="s">
        <v>191</v>
      </c>
      <c r="C20" s="106"/>
      <c r="D20" s="106"/>
      <c r="E20" s="106"/>
      <c r="F20" s="106"/>
      <c r="G20" s="106"/>
      <c r="H20" s="107"/>
      <c r="I20" s="2"/>
    </row>
    <row r="21" spans="1:9" x14ac:dyDescent="0.25">
      <c r="A21" s="2"/>
      <c r="B21" s="89" t="s">
        <v>82</v>
      </c>
      <c r="C21" s="90"/>
      <c r="D21" s="90"/>
      <c r="E21" s="90"/>
      <c r="F21" s="91"/>
      <c r="G21" s="27">
        <v>952473</v>
      </c>
      <c r="H21" s="23" t="s">
        <v>4</v>
      </c>
      <c r="I21" s="2"/>
    </row>
    <row r="22" spans="1:9" x14ac:dyDescent="0.25">
      <c r="A22" s="2"/>
      <c r="B22" s="89" t="s">
        <v>83</v>
      </c>
      <c r="C22" s="90"/>
      <c r="D22" s="90"/>
      <c r="E22" s="90"/>
      <c r="F22" s="91"/>
      <c r="G22" s="27">
        <v>1010000</v>
      </c>
      <c r="H22" s="23" t="s">
        <v>4</v>
      </c>
      <c r="I22" s="2"/>
    </row>
    <row r="23" spans="1:9" x14ac:dyDescent="0.25">
      <c r="A23" s="2"/>
      <c r="B23" s="99" t="s">
        <v>191</v>
      </c>
      <c r="C23" s="100"/>
      <c r="D23" s="100"/>
      <c r="E23" s="100"/>
      <c r="F23" s="101"/>
      <c r="G23" s="21">
        <f>G21-G22</f>
        <v>-57527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5" t="s">
        <v>192</v>
      </c>
      <c r="C26" s="106"/>
      <c r="D26" s="106"/>
      <c r="E26" s="106"/>
      <c r="F26" s="106"/>
      <c r="G26" s="106"/>
      <c r="H26" s="107"/>
      <c r="I26" s="2"/>
    </row>
    <row r="27" spans="1:9" ht="29.25" customHeight="1" x14ac:dyDescent="0.25">
      <c r="A27" s="2"/>
      <c r="B27" s="86" t="s">
        <v>84</v>
      </c>
      <c r="C27" s="87"/>
      <c r="D27" s="87"/>
      <c r="E27" s="87"/>
      <c r="F27" s="88"/>
      <c r="G27" s="27">
        <v>0</v>
      </c>
      <c r="H27" s="23" t="s">
        <v>4</v>
      </c>
      <c r="I27" s="2"/>
    </row>
    <row r="28" spans="1:9" x14ac:dyDescent="0.25">
      <c r="A28" s="2"/>
      <c r="B28" s="89" t="s">
        <v>85</v>
      </c>
      <c r="C28" s="90"/>
      <c r="D28" s="90"/>
      <c r="E28" s="90"/>
      <c r="F28" s="91"/>
      <c r="G28" s="27">
        <v>407366</v>
      </c>
      <c r="H28" s="23" t="s">
        <v>4</v>
      </c>
      <c r="I28" s="2"/>
    </row>
    <row r="29" spans="1:9" ht="15" customHeight="1" x14ac:dyDescent="0.25">
      <c r="A29" s="2"/>
      <c r="B29" s="105" t="s">
        <v>192</v>
      </c>
      <c r="C29" s="106"/>
      <c r="D29" s="106"/>
      <c r="E29" s="106"/>
      <c r="F29" s="107"/>
      <c r="G29" s="21">
        <f>G27-G28</f>
        <v>-407366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5" t="s">
        <v>86</v>
      </c>
      <c r="C32" s="106"/>
      <c r="D32" s="106"/>
      <c r="E32" s="106"/>
      <c r="F32" s="106"/>
      <c r="G32" s="106"/>
      <c r="H32" s="107"/>
      <c r="I32" s="2"/>
    </row>
    <row r="33" spans="1:9" x14ac:dyDescent="0.25">
      <c r="A33" s="2"/>
      <c r="B33" s="89" t="s">
        <v>87</v>
      </c>
      <c r="C33" s="90"/>
      <c r="D33" s="90"/>
      <c r="E33" s="90"/>
      <c r="F33" s="91"/>
      <c r="G33" s="12">
        <f>'Fane 8. Gen. inv. i 2016'!F34</f>
        <v>730408.56976666662</v>
      </c>
      <c r="H33" s="23" t="s">
        <v>4</v>
      </c>
      <c r="I33" s="2"/>
    </row>
    <row r="34" spans="1:9" x14ac:dyDescent="0.25">
      <c r="A34" s="2"/>
      <c r="B34" s="89" t="s">
        <v>88</v>
      </c>
      <c r="C34" s="90"/>
      <c r="D34" s="90"/>
      <c r="E34" s="90"/>
      <c r="F34" s="91"/>
      <c r="G34" s="27">
        <v>630666.66666666663</v>
      </c>
      <c r="H34" s="23" t="s">
        <v>4</v>
      </c>
      <c r="I34" s="2"/>
    </row>
    <row r="35" spans="1:9" x14ac:dyDescent="0.25">
      <c r="A35" s="2"/>
      <c r="B35" s="99" t="s">
        <v>86</v>
      </c>
      <c r="C35" s="100"/>
      <c r="D35" s="100"/>
      <c r="E35" s="100"/>
      <c r="F35" s="101"/>
      <c r="G35" s="21">
        <f>G33-G34</f>
        <v>99741.903099999996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90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70238441.992016077</v>
      </c>
      <c r="H9" s="38" t="s">
        <v>4</v>
      </c>
      <c r="I9" s="2"/>
    </row>
    <row r="10" spans="1:9" x14ac:dyDescent="0.25">
      <c r="A10" s="2"/>
      <c r="B10" s="99" t="s">
        <v>92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34767664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93</v>
      </c>
      <c r="C12" s="90"/>
      <c r="D12" s="91"/>
      <c r="E12" s="27">
        <v>5611463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94</v>
      </c>
      <c r="C13" s="90"/>
      <c r="D13" s="91"/>
      <c r="E13" s="27">
        <v>1271880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95</v>
      </c>
      <c r="C14" s="90"/>
      <c r="D14" s="91"/>
      <c r="E14" s="27">
        <v>1242333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42893340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2314808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19000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2333808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-4432646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-29002234.800000001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-2489336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-349892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-247153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-36521261.799999997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8705886.200000003</v>
      </c>
      <c r="F28" s="38" t="s">
        <v>4</v>
      </c>
      <c r="G28" s="1">
        <f>IF(E28&lt;0,0,-E28)</f>
        <v>-8705886.200000003</v>
      </c>
      <c r="H28" s="38" t="s">
        <v>4</v>
      </c>
      <c r="I28" s="2"/>
    </row>
    <row r="29" spans="1:9" x14ac:dyDescent="0.25">
      <c r="A29" s="2"/>
      <c r="B29" s="99" t="s">
        <v>96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21" t="s">
        <v>57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58</v>
      </c>
      <c r="C32" s="87"/>
      <c r="D32" s="88"/>
      <c r="E32" s="27">
        <v>54621453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1922313.18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56543766.18</v>
      </c>
      <c r="F35" s="38" t="s">
        <v>4</v>
      </c>
      <c r="G35" s="18">
        <f>-E35</f>
        <v>-56543766.18</v>
      </c>
      <c r="H35" s="38" t="s">
        <v>4</v>
      </c>
      <c r="I35" s="2"/>
    </row>
    <row r="36" spans="1:9" x14ac:dyDescent="0.25">
      <c r="A36" s="2"/>
      <c r="B36" s="99" t="s">
        <v>97</v>
      </c>
      <c r="C36" s="100"/>
      <c r="D36" s="100"/>
      <c r="E36" s="100"/>
      <c r="F36" s="101"/>
      <c r="G36" s="21">
        <f>$G$9+$G$28+$G$30+$G$35</f>
        <v>4988789.6120160744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126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186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116</v>
      </c>
      <c r="C9" s="94"/>
      <c r="D9" s="120" t="s">
        <v>47</v>
      </c>
      <c r="E9" s="120"/>
      <c r="F9" s="120" t="s">
        <v>127</v>
      </c>
      <c r="G9" s="120"/>
      <c r="H9" s="2"/>
    </row>
    <row r="10" spans="1:8" x14ac:dyDescent="0.25">
      <c r="A10" s="2"/>
      <c r="B10" s="122" t="s">
        <v>177</v>
      </c>
      <c r="C10" s="123"/>
      <c r="D10" s="48"/>
      <c r="E10" s="23" t="s">
        <v>4</v>
      </c>
      <c r="F10" s="27">
        <v>1483</v>
      </c>
      <c r="G10" s="23" t="s">
        <v>4</v>
      </c>
      <c r="H10" s="2"/>
    </row>
    <row r="11" spans="1:8" x14ac:dyDescent="0.25">
      <c r="A11" s="2"/>
      <c r="B11" s="99" t="s">
        <v>133</v>
      </c>
      <c r="C11" s="100"/>
      <c r="D11" s="21">
        <f>SUM(D10:D10)</f>
        <v>0</v>
      </c>
      <c r="E11" s="22" t="s">
        <v>4</v>
      </c>
      <c r="F11" s="21">
        <f>SUM(F10:F10)</f>
        <v>1483</v>
      </c>
      <c r="G11" s="22" t="s">
        <v>4</v>
      </c>
      <c r="H11" s="2"/>
    </row>
    <row r="12" spans="1:8" x14ac:dyDescent="0.25">
      <c r="A12" s="2"/>
      <c r="B12" s="99" t="s">
        <v>145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1508.9525000000001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9" t="s">
        <v>182</v>
      </c>
      <c r="C15" s="100"/>
      <c r="D15" s="100"/>
      <c r="E15" s="100"/>
      <c r="F15" s="100"/>
      <c r="G15" s="101"/>
      <c r="H15" s="2"/>
    </row>
    <row r="16" spans="1:8" ht="15" customHeight="1" x14ac:dyDescent="0.25">
      <c r="A16" s="2"/>
      <c r="B16" s="92" t="s">
        <v>198</v>
      </c>
      <c r="C16" s="93"/>
      <c r="D16" s="93"/>
      <c r="E16" s="94"/>
      <c r="F16" s="120" t="s">
        <v>183</v>
      </c>
      <c r="G16" s="120"/>
      <c r="H16" s="2"/>
    </row>
    <row r="17" spans="1:8" x14ac:dyDescent="0.25">
      <c r="A17" s="2"/>
      <c r="B17" s="122" t="s">
        <v>194</v>
      </c>
      <c r="C17" s="124"/>
      <c r="D17" s="124"/>
      <c r="E17" s="123"/>
      <c r="F17" s="27">
        <v>1974357</v>
      </c>
      <c r="G17" s="23" t="s">
        <v>4</v>
      </c>
      <c r="H17" s="2"/>
    </row>
    <row r="18" spans="1:8" x14ac:dyDescent="0.25">
      <c r="A18" s="2"/>
      <c r="B18" s="99" t="s">
        <v>184</v>
      </c>
      <c r="C18" s="100"/>
      <c r="D18" s="100"/>
      <c r="E18" s="101"/>
      <c r="F18" s="21">
        <f>SUM(F17:F17)</f>
        <v>1974357</v>
      </c>
      <c r="G18" s="22" t="s">
        <v>4</v>
      </c>
      <c r="H18" s="2"/>
    </row>
    <row r="19" spans="1:8" x14ac:dyDescent="0.25">
      <c r="A19" s="2"/>
      <c r="B19" s="99" t="s">
        <v>185</v>
      </c>
      <c r="C19" s="100"/>
      <c r="D19" s="100"/>
      <c r="E19" s="101"/>
      <c r="F19" s="21">
        <f>F18*(1+'Fane 2.1. Økonomisk ramme 2018'!E19/100)</f>
        <v>2008908.2475000001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117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119</v>
      </c>
      <c r="C9" s="46"/>
      <c r="D9" s="120" t="s">
        <v>47</v>
      </c>
      <c r="E9" s="120"/>
      <c r="F9" s="120" t="s">
        <v>127</v>
      </c>
      <c r="G9" s="120"/>
      <c r="H9" s="2"/>
    </row>
    <row r="10" spans="1:8" x14ac:dyDescent="0.25">
      <c r="A10" s="2"/>
      <c r="B10" s="35" t="s">
        <v>193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128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144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109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60</v>
      </c>
      <c r="C9" s="87"/>
      <c r="D9" s="88"/>
      <c r="E9" s="8">
        <f>'Fane 3. Korrigeret grundlag'!G12</f>
        <v>77893268.828190923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8137788.5604633791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121</v>
      </c>
      <c r="C11" s="90"/>
      <c r="D11" s="91"/>
      <c r="E11" s="12">
        <f>'Fane 4. Ikke-påvirkelige omk.'!G21</f>
        <v>-5983541.7578035006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196</v>
      </c>
      <c r="C12" s="52"/>
      <c r="D12" s="53"/>
      <c r="E12" s="12">
        <f>'Fane 5. Individuelt eff.krav'!G10</f>
        <v>-1444627.6531054652</v>
      </c>
      <c r="F12" s="9" t="s">
        <v>4</v>
      </c>
      <c r="G12" s="13"/>
      <c r="H12" s="14"/>
      <c r="I12" s="2"/>
    </row>
    <row r="13" spans="1:9" x14ac:dyDescent="0.25">
      <c r="A13" s="2"/>
      <c r="B13" s="95" t="s">
        <v>178</v>
      </c>
      <c r="C13" s="102"/>
      <c r="D13" s="103"/>
      <c r="E13" s="12">
        <f>'Fane 3. Korrigeret grundlag'!G22</f>
        <v>472817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129</v>
      </c>
      <c r="C14" s="87"/>
      <c r="D14" s="88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130</v>
      </c>
      <c r="C15" s="87"/>
      <c r="D15" s="88"/>
      <c r="E15" s="12">
        <f>'Fane 11. Tillæg'!$F$12</f>
        <v>1508.9525000000001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182</v>
      </c>
      <c r="C16" s="87"/>
      <c r="D16" s="88"/>
      <c r="E16" s="12">
        <f>'Fane 11. Tillæg'!F19</f>
        <v>2008908.2475000001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131</v>
      </c>
      <c r="C17" s="87"/>
      <c r="D17" s="88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6" t="s">
        <v>132</v>
      </c>
      <c r="C18" s="87"/>
      <c r="D18" s="88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124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5" t="s">
        <v>123</v>
      </c>
      <c r="C20" s="90"/>
      <c r="D20" s="91"/>
      <c r="E20" s="12">
        <f>SUM(E9,E11:E18)*(E19/100)</f>
        <v>1276595.8383024344</v>
      </c>
      <c r="F20" s="9" t="s">
        <v>4</v>
      </c>
      <c r="G20" s="13"/>
      <c r="H20" s="14"/>
      <c r="I20" s="2"/>
    </row>
    <row r="21" spans="1:9" x14ac:dyDescent="0.25">
      <c r="A21" s="2"/>
      <c r="B21" s="89" t="s">
        <v>15</v>
      </c>
      <c r="C21" s="90"/>
      <c r="D21" s="91"/>
      <c r="E21" s="12">
        <f>'Fane 5. Individuelt eff.krav'!G12</f>
        <v>572796.07871987799</v>
      </c>
      <c r="F21" s="9" t="s">
        <v>4</v>
      </c>
      <c r="G21" s="15"/>
      <c r="H21" s="14"/>
      <c r="I21" s="2"/>
    </row>
    <row r="22" spans="1:9" x14ac:dyDescent="0.25">
      <c r="A22" s="2"/>
      <c r="B22" s="89" t="s">
        <v>16</v>
      </c>
      <c r="C22" s="90"/>
      <c r="D22" s="91"/>
      <c r="E22" s="12">
        <f>'Fane 6. Generelt eff.krav'!G17</f>
        <v>1301983.9243138502</v>
      </c>
      <c r="F22" s="9" t="s">
        <v>4</v>
      </c>
      <c r="G22" s="16"/>
      <c r="H22" s="17"/>
      <c r="I22" s="2"/>
    </row>
    <row r="23" spans="1:9" x14ac:dyDescent="0.25">
      <c r="A23" s="2"/>
      <c r="B23" s="96" t="s">
        <v>187</v>
      </c>
      <c r="C23" s="97"/>
      <c r="D23" s="98"/>
      <c r="E23" s="18">
        <f>SUM(E9,E11:E18,E20)-SUM(E21:E22)</f>
        <v>72350149.452550665</v>
      </c>
      <c r="F23" s="19" t="s">
        <v>4</v>
      </c>
      <c r="G23" s="18">
        <f>E23</f>
        <v>72350149.452550665</v>
      </c>
      <c r="H23" s="19" t="s">
        <v>4</v>
      </c>
      <c r="I23" s="2"/>
    </row>
    <row r="24" spans="1:9" x14ac:dyDescent="0.25">
      <c r="A24" s="2"/>
      <c r="B24" s="99" t="s">
        <v>17</v>
      </c>
      <c r="C24" s="100"/>
      <c r="D24" s="100"/>
      <c r="E24" s="100"/>
      <c r="F24" s="100"/>
      <c r="G24" s="100"/>
      <c r="H24" s="101"/>
      <c r="I24" s="2"/>
    </row>
    <row r="25" spans="1:9" x14ac:dyDescent="0.25">
      <c r="A25" s="2"/>
      <c r="B25" s="92" t="s">
        <v>55</v>
      </c>
      <c r="C25" s="93"/>
      <c r="D25" s="94"/>
      <c r="E25" s="18">
        <f>'Fane 7. Hist. over el. underdæk'!G13</f>
        <v>899470.49559082894</v>
      </c>
      <c r="F25" s="19" t="s">
        <v>4</v>
      </c>
      <c r="G25" s="18">
        <f>E25</f>
        <v>899470.49559082894</v>
      </c>
      <c r="H25" s="19" t="s">
        <v>4</v>
      </c>
      <c r="I25" s="2"/>
    </row>
    <row r="26" spans="1:9" x14ac:dyDescent="0.25">
      <c r="A26" s="2"/>
      <c r="B26" s="99" t="s">
        <v>98</v>
      </c>
      <c r="C26" s="100"/>
      <c r="D26" s="100"/>
      <c r="E26" s="100"/>
      <c r="F26" s="100"/>
      <c r="G26" s="100"/>
      <c r="H26" s="101"/>
      <c r="I26" s="2"/>
    </row>
    <row r="27" spans="1:9" x14ac:dyDescent="0.25">
      <c r="A27" s="2"/>
      <c r="B27" s="86" t="s">
        <v>105</v>
      </c>
      <c r="C27" s="87"/>
      <c r="D27" s="88"/>
      <c r="E27" s="12">
        <f>'Fane 9. Korrektion af PL2016'!G11</f>
        <v>-391358</v>
      </c>
      <c r="F27" s="9" t="s">
        <v>4</v>
      </c>
      <c r="G27" s="20"/>
      <c r="H27" s="11"/>
      <c r="I27" s="2"/>
    </row>
    <row r="28" spans="1:9" x14ac:dyDescent="0.25">
      <c r="A28" s="2"/>
      <c r="B28" s="86" t="s">
        <v>99</v>
      </c>
      <c r="C28" s="87"/>
      <c r="D28" s="88"/>
      <c r="E28" s="12">
        <f>'Fane 9. Korrektion af PL2016'!G17</f>
        <v>-291484.96999999997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6" t="s">
        <v>100</v>
      </c>
      <c r="C29" s="87"/>
      <c r="D29" s="88"/>
      <c r="E29" s="12">
        <f>'Fane 9. Korrektion af PL2016'!G23</f>
        <v>-57527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6" t="s">
        <v>101</v>
      </c>
      <c r="C30" s="87"/>
      <c r="D30" s="88"/>
      <c r="E30" s="12">
        <f>'Fane 9. Korrektion af PL2016'!G29</f>
        <v>-407366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6" t="s">
        <v>102</v>
      </c>
      <c r="C31" s="87"/>
      <c r="D31" s="88"/>
      <c r="E31" s="12">
        <f>'Fane 9. Korrektion af PL2016'!G35</f>
        <v>99741.903099999996</v>
      </c>
      <c r="F31" s="9" t="s">
        <v>4</v>
      </c>
      <c r="G31" s="15"/>
      <c r="H31" s="14"/>
      <c r="I31" s="2"/>
    </row>
    <row r="32" spans="1:9" x14ac:dyDescent="0.25">
      <c r="A32" s="2"/>
      <c r="B32" s="92" t="s">
        <v>103</v>
      </c>
      <c r="C32" s="93"/>
      <c r="D32" s="94"/>
      <c r="E32" s="18">
        <f>SUM(E27:E31)</f>
        <v>-1047994.0669</v>
      </c>
      <c r="F32" s="19" t="s">
        <v>4</v>
      </c>
      <c r="G32" s="18">
        <f>E32</f>
        <v>-1047994.0669</v>
      </c>
      <c r="H32" s="19" t="s">
        <v>4</v>
      </c>
      <c r="I32" s="2"/>
    </row>
    <row r="33" spans="1:9" x14ac:dyDescent="0.25">
      <c r="A33" s="2"/>
      <c r="B33" s="99" t="s">
        <v>18</v>
      </c>
      <c r="C33" s="100"/>
      <c r="D33" s="100"/>
      <c r="E33" s="100"/>
      <c r="F33" s="100"/>
      <c r="G33" s="100"/>
      <c r="H33" s="101"/>
      <c r="I33" s="2"/>
    </row>
    <row r="34" spans="1:9" x14ac:dyDescent="0.25">
      <c r="A34" s="2"/>
      <c r="B34" s="92" t="s">
        <v>104</v>
      </c>
      <c r="C34" s="93"/>
      <c r="D34" s="94"/>
      <c r="E34" s="18">
        <f>'Fane 10. Kontrol af PL2016'!G36</f>
        <v>4988789.6120160744</v>
      </c>
      <c r="F34" s="19" t="s">
        <v>4</v>
      </c>
      <c r="G34" s="18">
        <f>E34</f>
        <v>4988789.6120160744</v>
      </c>
      <c r="H34" s="19" t="s">
        <v>4</v>
      </c>
      <c r="I34" s="2"/>
    </row>
    <row r="35" spans="1:9" x14ac:dyDescent="0.25">
      <c r="A35" s="2"/>
      <c r="B35" s="99" t="s">
        <v>62</v>
      </c>
      <c r="C35" s="100"/>
      <c r="D35" s="100"/>
      <c r="E35" s="100"/>
      <c r="F35" s="101"/>
      <c r="G35" s="21">
        <f>G23+G25+G32+G34</f>
        <v>77190415.493257582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11:D11"/>
    <mergeCell ref="B32:D32"/>
    <mergeCell ref="B29:D29"/>
    <mergeCell ref="B35:F35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108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106</v>
      </c>
      <c r="C9" s="87"/>
      <c r="D9" s="88"/>
      <c r="E9" s="8">
        <f>'Fane 2.1. Økonomisk ramme 2018'!G23-'Fane 2.1. Økonomisk ramme 2018'!E13*(1+0.0175)*(1-0.02-'Fane 5. Individuelt eff.krav'!G11/100)</f>
        <v>71882617.27867429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2018'!E10:E11))*(1+'Fane 2.1. Økonomisk ramme 2018'!E19/100)</f>
        <v>2191946.1217064266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178</v>
      </c>
      <c r="C11" s="59"/>
      <c r="D11" s="60"/>
      <c r="E11" s="12">
        <v>481092</v>
      </c>
      <c r="F11" s="9" t="s">
        <v>4</v>
      </c>
      <c r="G11" s="13"/>
      <c r="H11" s="14"/>
      <c r="I11" s="2"/>
    </row>
    <row r="12" spans="1:9" x14ac:dyDescent="0.25">
      <c r="A12" s="2"/>
      <c r="B12" s="89" t="s">
        <v>61</v>
      </c>
      <c r="C12" s="90"/>
      <c r="D12" s="91"/>
      <c r="E12" s="12">
        <f>($E$9+E11)*'Fane 2.1. Økonomisk ramme 2018'!E19/100</f>
        <v>1266364.9123768001</v>
      </c>
      <c r="F12" s="9" t="s">
        <v>4</v>
      </c>
      <c r="G12" s="15"/>
      <c r="H12" s="14"/>
      <c r="I12" s="2"/>
    </row>
    <row r="13" spans="1:9" x14ac:dyDescent="0.25">
      <c r="A13" s="2"/>
      <c r="B13" s="89" t="s">
        <v>15</v>
      </c>
      <c r="C13" s="90"/>
      <c r="D13" s="91"/>
      <c r="E13" s="12">
        <f>($E$9+E11-$E$10)*(1+'Fane 2.1. Økonomisk ramme 2018'!E19/100)*'Fane 5. Individuelt eff.krav'!$G$11/100</f>
        <v>584342.60999917169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1310027.1998156405</v>
      </c>
      <c r="F14" s="9" t="s">
        <v>4</v>
      </c>
      <c r="G14" s="16"/>
      <c r="H14" s="17"/>
      <c r="I14" s="2"/>
    </row>
    <row r="15" spans="1:9" x14ac:dyDescent="0.25">
      <c r="A15" s="2"/>
      <c r="B15" s="96" t="s">
        <v>187</v>
      </c>
      <c r="C15" s="97"/>
      <c r="D15" s="98"/>
      <c r="E15" s="18">
        <f>$E$9+$E$12-$E$13-$E$14+E11</f>
        <v>71735704.381236285</v>
      </c>
      <c r="F15" s="19" t="s">
        <v>4</v>
      </c>
      <c r="G15" s="18">
        <f>E15</f>
        <v>71735704.381236285</v>
      </c>
      <c r="H15" s="19" t="s">
        <v>4</v>
      </c>
      <c r="I15" s="2"/>
    </row>
    <row r="16" spans="1:9" x14ac:dyDescent="0.25">
      <c r="A16" s="2"/>
      <c r="B16" s="99" t="s">
        <v>17</v>
      </c>
      <c r="C16" s="100"/>
      <c r="D16" s="100"/>
      <c r="E16" s="100"/>
      <c r="F16" s="100"/>
      <c r="G16" s="100"/>
      <c r="H16" s="101"/>
      <c r="I16" s="2"/>
    </row>
    <row r="17" spans="1:9" ht="15" customHeight="1" x14ac:dyDescent="0.25">
      <c r="A17" s="2"/>
      <c r="B17" s="92" t="s">
        <v>55</v>
      </c>
      <c r="C17" s="93"/>
      <c r="D17" s="94"/>
      <c r="E17" s="18">
        <f>IF('Fane 7. Hist. over el. underdæk'!$G$12&gt;1,'Fane 7. Hist. over el. underdæk'!$G$13,0)</f>
        <v>899470.49559082894</v>
      </c>
      <c r="F17" s="19" t="s">
        <v>4</v>
      </c>
      <c r="G17" s="18">
        <f>E17</f>
        <v>899470.49559082894</v>
      </c>
      <c r="H17" s="19" t="s">
        <v>4</v>
      </c>
      <c r="I17" s="2"/>
    </row>
    <row r="18" spans="1:9" x14ac:dyDescent="0.25">
      <c r="A18" s="2"/>
      <c r="B18" s="99" t="s">
        <v>107</v>
      </c>
      <c r="C18" s="100"/>
      <c r="D18" s="100"/>
      <c r="E18" s="100"/>
      <c r="F18" s="101"/>
      <c r="G18" s="21">
        <f>G15+G17</f>
        <v>72635174.876827121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141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110</v>
      </c>
      <c r="C9" s="90"/>
      <c r="D9" s="90"/>
      <c r="E9" s="90"/>
      <c r="F9" s="91"/>
      <c r="G9" s="27">
        <v>22738558.80624295</v>
      </c>
      <c r="H9" s="23" t="s">
        <v>4</v>
      </c>
      <c r="I9" s="2"/>
    </row>
    <row r="10" spans="1:9" x14ac:dyDescent="0.25">
      <c r="A10" s="2"/>
      <c r="B10" s="89" t="s">
        <v>111</v>
      </c>
      <c r="C10" s="90"/>
      <c r="D10" s="90"/>
      <c r="E10" s="90"/>
      <c r="F10" s="91"/>
      <c r="G10" s="27">
        <v>47016921.461484589</v>
      </c>
      <c r="H10" s="23" t="s">
        <v>4</v>
      </c>
      <c r="I10" s="2"/>
    </row>
    <row r="11" spans="1:9" x14ac:dyDescent="0.25">
      <c r="A11" s="2"/>
      <c r="B11" s="89" t="s">
        <v>138</v>
      </c>
      <c r="C11" s="90"/>
      <c r="D11" s="90"/>
      <c r="E11" s="90"/>
      <c r="F11" s="91"/>
      <c r="G11" s="27">
        <v>8137788.5604633791</v>
      </c>
      <c r="H11" s="23" t="s">
        <v>4</v>
      </c>
      <c r="I11" s="2"/>
    </row>
    <row r="12" spans="1:9" ht="17.25" customHeight="1" x14ac:dyDescent="0.25">
      <c r="A12" s="2"/>
      <c r="B12" s="105" t="s">
        <v>143</v>
      </c>
      <c r="C12" s="106"/>
      <c r="D12" s="106"/>
      <c r="E12" s="106"/>
      <c r="F12" s="107"/>
      <c r="G12" s="21">
        <f>SUM(G9:G11)</f>
        <v>77893268.828190923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99" t="s">
        <v>178</v>
      </c>
      <c r="C19" s="100"/>
      <c r="D19" s="100"/>
      <c r="E19" s="100"/>
      <c r="F19" s="100"/>
      <c r="G19" s="100"/>
      <c r="H19" s="101"/>
      <c r="I19" s="2"/>
    </row>
    <row r="20" spans="1:9" x14ac:dyDescent="0.25">
      <c r="A20" s="2"/>
      <c r="B20" s="89" t="s">
        <v>179</v>
      </c>
      <c r="C20" s="90"/>
      <c r="D20" s="90"/>
      <c r="E20" s="90"/>
      <c r="F20" s="91"/>
      <c r="G20" s="27">
        <v>472817</v>
      </c>
      <c r="H20" s="23" t="s">
        <v>4</v>
      </c>
      <c r="I20" s="2"/>
    </row>
    <row r="21" spans="1:9" x14ac:dyDescent="0.25">
      <c r="A21" s="2"/>
      <c r="B21" s="89" t="s">
        <v>180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105" t="s">
        <v>181</v>
      </c>
      <c r="C22" s="106"/>
      <c r="D22" s="106"/>
      <c r="E22" s="106"/>
      <c r="F22" s="107"/>
      <c r="G22" s="21">
        <f>SUM(G20:G21)</f>
        <v>472817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113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115</v>
      </c>
      <c r="C9" s="93"/>
      <c r="D9" s="94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8" t="s">
        <v>167</v>
      </c>
      <c r="C10" s="109"/>
      <c r="D10" s="109"/>
      <c r="E10" s="49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168</v>
      </c>
      <c r="C11" s="109"/>
      <c r="D11" s="109"/>
      <c r="E11" s="49">
        <v>68262.612599999993</v>
      </c>
      <c r="F11" s="23" t="s">
        <v>4</v>
      </c>
      <c r="G11" s="27">
        <v>70285</v>
      </c>
      <c r="H11" s="23" t="s">
        <v>4</v>
      </c>
      <c r="I11" s="2"/>
    </row>
    <row r="12" spans="1:9" x14ac:dyDescent="0.25">
      <c r="A12" s="2"/>
      <c r="B12" s="108" t="s">
        <v>169</v>
      </c>
      <c r="C12" s="109"/>
      <c r="D12" s="109"/>
      <c r="E12" s="49">
        <v>5936020.0806</v>
      </c>
      <c r="F12" s="23" t="s">
        <v>4</v>
      </c>
      <c r="G12" s="27">
        <v>518000</v>
      </c>
      <c r="H12" s="23" t="s">
        <v>4</v>
      </c>
      <c r="I12" s="2"/>
    </row>
    <row r="13" spans="1:9" x14ac:dyDescent="0.25">
      <c r="A13" s="2"/>
      <c r="B13" s="108" t="s">
        <v>170</v>
      </c>
      <c r="C13" s="109"/>
      <c r="D13" s="109"/>
      <c r="E13" s="49">
        <v>32399.4126</v>
      </c>
      <c r="F13" s="23" t="s">
        <v>4</v>
      </c>
      <c r="G13" s="27">
        <v>50456</v>
      </c>
      <c r="H13" s="23" t="s">
        <v>4</v>
      </c>
      <c r="I13" s="2"/>
    </row>
    <row r="14" spans="1:9" x14ac:dyDescent="0.25">
      <c r="A14" s="2"/>
      <c r="B14" s="108" t="s">
        <v>171</v>
      </c>
      <c r="C14" s="109"/>
      <c r="D14" s="109"/>
      <c r="E14" s="49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172</v>
      </c>
      <c r="C15" s="109"/>
      <c r="D15" s="109"/>
      <c r="E15" s="49">
        <v>1275175.848</v>
      </c>
      <c r="F15" s="23" t="s">
        <v>4</v>
      </c>
      <c r="G15" s="27">
        <v>1294901</v>
      </c>
      <c r="H15" s="23" t="s">
        <v>4</v>
      </c>
      <c r="I15" s="2"/>
    </row>
    <row r="16" spans="1:9" x14ac:dyDescent="0.25">
      <c r="A16" s="2"/>
      <c r="B16" s="108" t="s">
        <v>173</v>
      </c>
      <c r="C16" s="109"/>
      <c r="D16" s="109"/>
      <c r="E16" s="49">
        <v>318058.76639999996</v>
      </c>
      <c r="F16" s="23" t="s">
        <v>4</v>
      </c>
      <c r="G16" s="27">
        <v>203500</v>
      </c>
      <c r="H16" s="23" t="s">
        <v>4</v>
      </c>
      <c r="I16" s="2"/>
    </row>
    <row r="17" spans="1:9" x14ac:dyDescent="0.25">
      <c r="A17" s="2"/>
      <c r="B17" s="108" t="s">
        <v>174</v>
      </c>
      <c r="C17" s="109"/>
      <c r="D17" s="109"/>
      <c r="E17" s="49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11" t="s">
        <v>176</v>
      </c>
      <c r="C18" s="112"/>
      <c r="D18" s="113"/>
      <c r="E18" s="49">
        <v>0</v>
      </c>
      <c r="F18" s="23" t="s">
        <v>4</v>
      </c>
      <c r="G18" s="27">
        <v>17962</v>
      </c>
      <c r="H18" s="23" t="s">
        <v>4</v>
      </c>
      <c r="I18" s="2"/>
    </row>
    <row r="19" spans="1:9" ht="29.25" customHeight="1" x14ac:dyDescent="0.25">
      <c r="A19" s="2"/>
      <c r="B19" s="110" t="s">
        <v>175</v>
      </c>
      <c r="C19" s="110"/>
      <c r="D19" s="110"/>
      <c r="E19" s="49">
        <v>405818</v>
      </c>
      <c r="F19" s="23" t="s">
        <v>4</v>
      </c>
      <c r="G19" s="27">
        <v>0</v>
      </c>
      <c r="H19" s="23" t="s">
        <v>4</v>
      </c>
      <c r="I19" s="2"/>
    </row>
    <row r="20" spans="1:9" x14ac:dyDescent="0.25">
      <c r="A20" s="2"/>
      <c r="B20" s="99" t="s">
        <v>134</v>
      </c>
      <c r="C20" s="100"/>
      <c r="D20" s="100"/>
      <c r="E20" s="100"/>
      <c r="F20" s="101"/>
      <c r="G20" s="21">
        <f>SUM(G10:G19)-SUM(E10:E19)</f>
        <v>-5880630.7202000003</v>
      </c>
      <c r="H20" s="22" t="s">
        <v>4</v>
      </c>
      <c r="I20" s="2"/>
    </row>
    <row r="21" spans="1:9" x14ac:dyDescent="0.25">
      <c r="A21" s="2"/>
      <c r="B21" s="99" t="s">
        <v>135</v>
      </c>
      <c r="C21" s="100"/>
      <c r="D21" s="100"/>
      <c r="E21" s="100"/>
      <c r="F21" s="101"/>
      <c r="G21" s="21">
        <f>G20*(1+'Fane 2.1. Økonomisk ramme 2018'!E19/100)</f>
        <v>-5983541.7578035006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9:D19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2018'!E13:E15,'Fane 2.1. Økonomisk ramme 2018'!E17:E18)</f>
        <v>70229806.22022754</v>
      </c>
      <c r="H9" s="23" t="s">
        <v>4</v>
      </c>
      <c r="I9" s="2"/>
    </row>
    <row r="10" spans="1:9" x14ac:dyDescent="0.25">
      <c r="A10" s="2"/>
      <c r="B10" s="54" t="s">
        <v>196</v>
      </c>
      <c r="C10" s="52"/>
      <c r="D10" s="52"/>
      <c r="E10" s="52"/>
      <c r="F10" s="53"/>
      <c r="G10" s="12">
        <v>-1444627.6531054652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0.81840966446152585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2018'!E19/100)*($G$11/100)</f>
        <v>572796.07871987799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4" t="s">
        <v>47</v>
      </c>
      <c r="C9" s="115"/>
      <c r="D9" s="115"/>
      <c r="E9" s="115"/>
      <c r="F9" s="116"/>
      <c r="G9" s="12">
        <f>'Fane 3. Korrigeret grundlag'!G9+(SUM('Fane 2.1. Økonomisk ramme 2018'!E13,'Fane 2.1. Økonomisk ramme 2018'!E14,'Fane 2.1. Økonomisk ramme 2018'!E17))</f>
        <v>23211375.80624295</v>
      </c>
      <c r="H9" s="23" t="s">
        <v>4</v>
      </c>
      <c r="I9" s="2"/>
    </row>
    <row r="10" spans="1:9" x14ac:dyDescent="0.25">
      <c r="A10" s="2"/>
      <c r="B10" s="55" t="s">
        <v>195</v>
      </c>
      <c r="C10" s="56"/>
      <c r="D10" s="56"/>
      <c r="E10" s="56"/>
      <c r="F10" s="57"/>
      <c r="G10" s="12">
        <v>-465314.94385354011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2018'!E19/100)*$G$11/100</f>
        <v>462882.33854962455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>'Fane 3. Korrigeret grundlag'!G10+SUM('Fane 2.1. Økonomisk ramme 2018'!E15,'Fane 2.1. Økonomisk ramme 2018'!E18)</f>
        <v>47018430.413984589</v>
      </c>
      <c r="H13" s="23" t="s">
        <v>4</v>
      </c>
      <c r="I13" s="2"/>
    </row>
    <row r="14" spans="1:9" x14ac:dyDescent="0.25">
      <c r="A14" s="2"/>
      <c r="B14" s="54" t="s">
        <v>197</v>
      </c>
      <c r="C14" s="52"/>
      <c r="D14" s="52"/>
      <c r="E14" s="52"/>
      <c r="F14" s="53"/>
      <c r="G14" s="12">
        <v>-426912.72138886782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2018'!E19/100)*$G$15/100</f>
        <v>839101.58576422569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1301983.9243138502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8297704</v>
      </c>
      <c r="H9" s="23" t="s">
        <v>4</v>
      </c>
      <c r="I9" s="2"/>
    </row>
    <row r="10" spans="1:9" x14ac:dyDescent="0.25">
      <c r="A10" s="2"/>
      <c r="B10" s="89" t="s">
        <v>120</v>
      </c>
      <c r="C10" s="90"/>
      <c r="D10" s="90"/>
      <c r="E10" s="90"/>
      <c r="F10" s="91"/>
      <c r="G10" s="27">
        <v>5599292.5132275131</v>
      </c>
      <c r="H10" s="23" t="s">
        <v>4</v>
      </c>
      <c r="I10" s="2"/>
    </row>
    <row r="11" spans="1:9" x14ac:dyDescent="0.25">
      <c r="A11" s="2"/>
      <c r="B11" s="117" t="s">
        <v>45</v>
      </c>
      <c r="C11" s="118"/>
      <c r="D11" s="118"/>
      <c r="E11" s="118"/>
      <c r="F11" s="119"/>
      <c r="G11" s="50">
        <f>G9-G10</f>
        <v>2698411.4867724869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3</v>
      </c>
      <c r="H12" s="23" t="s">
        <v>125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899470.49559082894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75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20" t="s">
        <v>3</v>
      </c>
      <c r="G9" s="120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589012.81999999995</v>
      </c>
      <c r="F10" s="12">
        <f>E10/D10</f>
        <v>7853.5042666666659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390520.28</v>
      </c>
      <c r="F11" s="12">
        <f t="shared" ref="F11:F33" si="0">E11/D11</f>
        <v>5206.9370666666673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250019.85</v>
      </c>
      <c r="F12" s="12">
        <f t="shared" si="0"/>
        <v>3333.598</v>
      </c>
      <c r="G12" s="23" t="s">
        <v>4</v>
      </c>
      <c r="H12" s="2"/>
    </row>
    <row r="13" spans="1:8" ht="26.25" x14ac:dyDescent="0.25">
      <c r="A13" s="2"/>
      <c r="B13" s="47" t="s">
        <v>149</v>
      </c>
      <c r="C13" s="41">
        <v>2016</v>
      </c>
      <c r="D13" s="28">
        <v>50</v>
      </c>
      <c r="E13" s="27">
        <v>1538413.25</v>
      </c>
      <c r="F13" s="12">
        <f t="shared" si="0"/>
        <v>30768.264999999999</v>
      </c>
      <c r="G13" s="23" t="s">
        <v>4</v>
      </c>
      <c r="H13" s="2"/>
    </row>
    <row r="14" spans="1:8" ht="26.25" x14ac:dyDescent="0.25">
      <c r="A14" s="2"/>
      <c r="B14" s="47" t="s">
        <v>150</v>
      </c>
      <c r="C14" s="41">
        <v>2016</v>
      </c>
      <c r="D14" s="28">
        <v>20</v>
      </c>
      <c r="E14" s="27">
        <v>1653728.79</v>
      </c>
      <c r="F14" s="12">
        <f t="shared" si="0"/>
        <v>82686.439500000008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10</v>
      </c>
      <c r="E15" s="27">
        <v>40000</v>
      </c>
      <c r="F15" s="12">
        <f t="shared" si="0"/>
        <v>4000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50</v>
      </c>
      <c r="E16" s="27">
        <v>6728599.29</v>
      </c>
      <c r="F16" s="12">
        <f t="shared" si="0"/>
        <v>134571.98579999999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75</v>
      </c>
      <c r="E17" s="27">
        <v>38023.78</v>
      </c>
      <c r="F17" s="12">
        <f t="shared" si="0"/>
        <v>506.9837333333333</v>
      </c>
      <c r="G17" s="23" t="s">
        <v>4</v>
      </c>
      <c r="H17" s="2"/>
    </row>
    <row r="18" spans="1:8" ht="26.25" x14ac:dyDescent="0.25">
      <c r="A18" s="2"/>
      <c r="B18" s="47" t="s">
        <v>154</v>
      </c>
      <c r="C18" s="41">
        <v>2016</v>
      </c>
      <c r="D18" s="28">
        <v>20</v>
      </c>
      <c r="E18" s="27">
        <v>241494.33</v>
      </c>
      <c r="F18" s="12">
        <f t="shared" si="0"/>
        <v>12074.716499999999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50</v>
      </c>
      <c r="E19" s="27">
        <v>150270.60999999999</v>
      </c>
      <c r="F19" s="12">
        <f t="shared" si="0"/>
        <v>3005.4121999999998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5</v>
      </c>
      <c r="E20" s="27">
        <v>73000</v>
      </c>
      <c r="F20" s="12">
        <f t="shared" si="0"/>
        <v>14600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5</v>
      </c>
      <c r="E21" s="27">
        <v>220557.8</v>
      </c>
      <c r="F21" s="12">
        <f t="shared" si="0"/>
        <v>44111.56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5</v>
      </c>
      <c r="E22" s="27">
        <v>194000</v>
      </c>
      <c r="F22" s="12">
        <f t="shared" si="0"/>
        <v>38800</v>
      </c>
      <c r="G22" s="23" t="s">
        <v>4</v>
      </c>
      <c r="H22" s="2"/>
    </row>
    <row r="23" spans="1:8" ht="26.25" x14ac:dyDescent="0.25">
      <c r="A23" s="2"/>
      <c r="B23" s="47" t="s">
        <v>159</v>
      </c>
      <c r="C23" s="41">
        <v>2016</v>
      </c>
      <c r="D23" s="28">
        <v>10</v>
      </c>
      <c r="E23" s="27">
        <v>228275.88</v>
      </c>
      <c r="F23" s="12">
        <f t="shared" si="0"/>
        <v>22827.588</v>
      </c>
      <c r="G23" s="23" t="s">
        <v>4</v>
      </c>
      <c r="H23" s="2"/>
    </row>
    <row r="24" spans="1:8" x14ac:dyDescent="0.25">
      <c r="A24" s="2"/>
      <c r="B24" s="47" t="s">
        <v>146</v>
      </c>
      <c r="C24" s="41">
        <v>2016</v>
      </c>
      <c r="D24" s="28">
        <v>75</v>
      </c>
      <c r="E24" s="27">
        <v>2970577.81</v>
      </c>
      <c r="F24" s="12">
        <f t="shared" si="0"/>
        <v>39607.704133333333</v>
      </c>
      <c r="G24" s="23" t="s">
        <v>4</v>
      </c>
      <c r="H24" s="2"/>
    </row>
    <row r="25" spans="1:8" x14ac:dyDescent="0.25">
      <c r="A25" s="2"/>
      <c r="B25" s="47" t="s">
        <v>147</v>
      </c>
      <c r="C25" s="41">
        <v>2016</v>
      </c>
      <c r="D25" s="28">
        <v>75</v>
      </c>
      <c r="E25" s="27">
        <v>2045941.46</v>
      </c>
      <c r="F25" s="12">
        <f t="shared" si="0"/>
        <v>27279.219466666666</v>
      </c>
      <c r="G25" s="23" t="s">
        <v>4</v>
      </c>
      <c r="H25" s="2"/>
    </row>
    <row r="26" spans="1:8" x14ac:dyDescent="0.25">
      <c r="A26" s="2"/>
      <c r="B26" s="47" t="s">
        <v>160</v>
      </c>
      <c r="C26" s="41">
        <v>2016</v>
      </c>
      <c r="D26" s="28">
        <v>75</v>
      </c>
      <c r="E26" s="27">
        <v>532721.03</v>
      </c>
      <c r="F26" s="12">
        <f t="shared" si="0"/>
        <v>7102.9470666666666</v>
      </c>
      <c r="G26" s="23" t="s">
        <v>4</v>
      </c>
      <c r="H26" s="2"/>
    </row>
    <row r="27" spans="1:8" x14ac:dyDescent="0.25">
      <c r="A27" s="2"/>
      <c r="B27" s="47" t="s">
        <v>161</v>
      </c>
      <c r="C27" s="41">
        <v>2016</v>
      </c>
      <c r="D27" s="28">
        <v>75</v>
      </c>
      <c r="E27" s="27">
        <v>3569795.24</v>
      </c>
      <c r="F27" s="12">
        <f t="shared" si="0"/>
        <v>47597.269866666669</v>
      </c>
      <c r="G27" s="23" t="s">
        <v>4</v>
      </c>
      <c r="H27" s="2"/>
    </row>
    <row r="28" spans="1:8" x14ac:dyDescent="0.25">
      <c r="A28" s="2"/>
      <c r="B28" s="47" t="s">
        <v>148</v>
      </c>
      <c r="C28" s="41">
        <v>2016</v>
      </c>
      <c r="D28" s="28">
        <v>75</v>
      </c>
      <c r="E28" s="27">
        <v>1526417.81</v>
      </c>
      <c r="F28" s="12">
        <f t="shared" si="0"/>
        <v>20352.237466666669</v>
      </c>
      <c r="G28" s="23" t="s">
        <v>4</v>
      </c>
      <c r="H28" s="2"/>
    </row>
    <row r="29" spans="1:8" x14ac:dyDescent="0.25">
      <c r="A29" s="2"/>
      <c r="B29" s="47" t="s">
        <v>162</v>
      </c>
      <c r="C29" s="41">
        <v>2016</v>
      </c>
      <c r="D29" s="28">
        <v>50</v>
      </c>
      <c r="E29" s="27">
        <v>1780778.26</v>
      </c>
      <c r="F29" s="12">
        <f t="shared" si="0"/>
        <v>35615.565199999997</v>
      </c>
      <c r="G29" s="23" t="s">
        <v>4</v>
      </c>
      <c r="H29" s="2"/>
    </row>
    <row r="30" spans="1:8" ht="26.25" x14ac:dyDescent="0.25">
      <c r="A30" s="2"/>
      <c r="B30" s="47" t="s">
        <v>163</v>
      </c>
      <c r="C30" s="41">
        <v>2016</v>
      </c>
      <c r="D30" s="28">
        <v>50</v>
      </c>
      <c r="E30" s="27">
        <v>3743095.15</v>
      </c>
      <c r="F30" s="12">
        <f t="shared" si="0"/>
        <v>74861.902999999991</v>
      </c>
      <c r="G30" s="23" t="s">
        <v>4</v>
      </c>
      <c r="H30" s="2"/>
    </row>
    <row r="31" spans="1:8" ht="26.25" x14ac:dyDescent="0.25">
      <c r="A31" s="2"/>
      <c r="B31" s="47" t="s">
        <v>164</v>
      </c>
      <c r="C31" s="41">
        <v>2016</v>
      </c>
      <c r="D31" s="28">
        <v>50</v>
      </c>
      <c r="E31" s="27">
        <v>359763</v>
      </c>
      <c r="F31" s="12">
        <f t="shared" si="0"/>
        <v>7195.26</v>
      </c>
      <c r="G31" s="23" t="s">
        <v>4</v>
      </c>
      <c r="H31" s="2"/>
    </row>
    <row r="32" spans="1:8" x14ac:dyDescent="0.25">
      <c r="A32" s="2"/>
      <c r="B32" s="47" t="s">
        <v>165</v>
      </c>
      <c r="C32" s="41">
        <v>2016</v>
      </c>
      <c r="D32" s="28">
        <v>20</v>
      </c>
      <c r="E32" s="27">
        <v>1238300.3700000001</v>
      </c>
      <c r="F32" s="12">
        <f t="shared" si="0"/>
        <v>61915.018500000006</v>
      </c>
      <c r="G32" s="23" t="s">
        <v>4</v>
      </c>
      <c r="H32" s="2"/>
    </row>
    <row r="33" spans="1:8" ht="26.25" x14ac:dyDescent="0.25">
      <c r="A33" s="2"/>
      <c r="B33" s="47" t="s">
        <v>166</v>
      </c>
      <c r="C33" s="41">
        <v>2016</v>
      </c>
      <c r="D33" s="28">
        <v>50</v>
      </c>
      <c r="E33" s="27">
        <v>226722.75</v>
      </c>
      <c r="F33" s="12">
        <f t="shared" si="0"/>
        <v>4534.4549999999999</v>
      </c>
      <c r="G33" s="23" t="s">
        <v>4</v>
      </c>
      <c r="H33" s="2"/>
    </row>
    <row r="34" spans="1:8" x14ac:dyDescent="0.25">
      <c r="A34" s="2"/>
      <c r="B34" s="99" t="s">
        <v>76</v>
      </c>
      <c r="C34" s="100"/>
      <c r="D34" s="100"/>
      <c r="E34" s="101"/>
      <c r="F34" s="21">
        <f>SUM(F10:F33)</f>
        <v>730408.56976666662</v>
      </c>
      <c r="G34" s="22" t="s">
        <v>4</v>
      </c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</sheetData>
  <sheetProtection password="DFE9" sheet="1" objects="1" scenarios="1"/>
  <mergeCells count="4">
    <mergeCell ref="B34:E3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2017-10-13T11:57:37Z</dcterms:modified>
</cp:coreProperties>
</file>