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G4" i="16" l="1"/>
  <c r="J3" i="16" l="1"/>
  <c r="F3" i="17"/>
  <c r="G3" i="17"/>
  <c r="E4" i="16" l="1"/>
  <c r="F4" i="16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6" i="16"/>
  <c r="G5" i="16"/>
  <c r="G5" i="17"/>
  <c r="F4" i="17"/>
  <c r="E5" i="17"/>
  <c r="G4" i="17"/>
  <c r="E4" i="17"/>
  <c r="F5" i="17"/>
  <c r="F5" i="16"/>
  <c r="I3" i="16" s="1"/>
  <c r="E5" i="16"/>
  <c r="H3" i="16" s="1"/>
  <c r="J3" i="24"/>
  <c r="F6" i="16"/>
  <c r="E6" i="16"/>
  <c r="M3" i="24" l="1"/>
  <c r="B9" i="12" s="1"/>
  <c r="B10" i="12" s="1"/>
  <c r="H3" i="17"/>
  <c r="B4" i="12" s="1"/>
  <c r="I2" i="15"/>
  <c r="K2" i="15" s="1"/>
  <c r="B2" i="12" s="1"/>
  <c r="K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<sst xmlns="http://schemas.openxmlformats.org/spreadsheetml/2006/main" count="119" uniqueCount="80">
  <si>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</si>
  <si>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</si>
  <si>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</si>
  <si>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</si>
  <si>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</si>
  <si>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</si>
  <si>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</si>
  <si>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</si>
  <si>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</si>
  <si>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</si>
  <si>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</si>
  <si>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</si>
  <si>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</si>
  <si>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</si>
  <si>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</si>
  <si>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</si>
  <si>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</si>
  <si>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</si>
  <si>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</si>
  <si>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</si>
  <si>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</si>
  <si>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</si>
  <si>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TV-inspektion</t>
  </si>
  <si>
    <t>Fejlkoblingsanalyser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</si>
  <si>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</si>
  <si>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</si>
  <si>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</si>
  <si>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</si>
  <si>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</si>
  <si>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</si>
  <si>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</si>
  <si>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</si>
  <si>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</si>
  <si>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</si>
  <si>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</si>
  <si>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</si>
  <si>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</si>
  <si>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</si>
  <si>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</si>
  <si>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</si>
  <si>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</si>
  <si>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</si>
  <si>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</si>
  <si>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</si>
  <si>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</si>
  <si>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</si>
  <si>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</si>
  <si>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</si>
  <si>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</si>
  <si>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</si>
  <si>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Bassinanlæg (drift)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</si>
  <si>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</si>
  <si>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</si>
  <si>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</si>
  <si>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</si>
  <si>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</si>
  <si>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</si>
  <si>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</si>
  <si>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</si>
  <si>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</si>
  <si>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</si>
  <si>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</si>
  <si>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</si>
  <si>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</si>
  <si>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</si>
  <si>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</si>
  <si>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</si>
  <si>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</si>
  <si>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</si>
  <si>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</si>
  <si>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</si>
  <si>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</si>
  <si>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</si>
  <si>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</si>
  <si>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</si>
  <si>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Klimaprojekt Sædbækken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</si>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</sst>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21451700.132233333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956106.20357357967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131242.66879999998</v>
      </c>
      <c r="C4" t="s">
        <v>11</v>
      </c>
    </row>
    <row r="5" spans="1:3" s="26" customFormat="1" x14ac:dyDescent="0.25">
      <c r="A5" s="3" t="s">
        <v>12</v>
      </c>
      <c r="B5" s="48">
        <f>SUM(B2:B4)</f>
        <v>22539049.004606914</v>
      </c>
      <c r="C5" s="62" t="s">
        <v>11</v>
      </c>
    </row>
    <row r="6" spans="1:3" x14ac:dyDescent="0.25">
      <c r="A6" s="47" t="s">
        <v>0</v>
      </c>
      <c r="B6" s="38">
        <f>Investeringer!E3</f>
        <v>37843380.229819067</v>
      </c>
      <c r="C6" s="23" t="s">
        <v>11</v>
      </c>
    </row>
    <row r="7" spans="1:3" x14ac:dyDescent="0.25">
      <c r="A7" s="4" t="s">
        <v>1</v>
      </c>
      <c r="B7" s="35">
        <f>Investeringer!F3</f>
        <v>6270471.387534786</v>
      </c>
      <c r="C7" t="s">
        <v>11</v>
      </c>
    </row>
    <row r="8" spans="1:3" x14ac:dyDescent="0.25">
      <c r="A8" s="4" t="s">
        <v>2</v>
      </c>
      <c r="B8" s="35">
        <f>Investeringer!G3</f>
        <v>733194.70966338785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1757345.1780066667</v>
      </c>
      <c r="C9" t="s">
        <v>11</v>
      </c>
    </row>
    <row r="10" spans="1:3" s="22" customFormat="1" x14ac:dyDescent="0.25">
      <c r="A10" s="3" t="s">
        <v>48</v>
      </c>
      <c r="B10" s="48">
        <f>SUM(B6:B9)</f>
        <v>46604391.505023912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7659021</v>
      </c>
      <c r="C11" t="s">
        <v>11</v>
      </c>
    </row>
    <row r="12" spans="1:3" s="22" customFormat="1" x14ac:dyDescent="0.25">
      <c r="A12" s="4" t="s">
        <v>51</v>
      </c>
      <c r="B12" s="35">
        <f>SUM(Medfinansiering!B:B)</f>
        <v>407366</v>
      </c>
      <c r="C12" s="22" t="s">
        <v>11</v>
      </c>
    </row>
    <row r="13" spans="1:3" s="22" customFormat="1" x14ac:dyDescent="0.25">
      <c r="A13" s="3" t="s">
        <v>72</v>
      </c>
      <c r="B13" s="48">
        <f>SUM(B11:B12)</f>
        <v>8066387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62</v>
      </c>
      <c r="B15" s="37">
        <f>SUM(B5,B10,B13)</f>
        <v>77209827.509630829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54</v>
      </c>
      <c r="B17" s="37">
        <f>B15*Pristalsregulering!C8*Pristalsregulering!C9</f>
        <v>77893268.828190923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63</v>
      </c>
      <c r="D1" s="59" t="s">
        <v>64</v>
      </c>
      <c r="E1" s="59" t="s">
        <v>55</v>
      </c>
      <c r="F1" s="52" t="s">
        <v>65</v>
      </c>
      <c r="G1" s="52" t="s">
        <v>73</v>
      </c>
      <c r="H1" s="52" t="s">
        <v>66</v>
      </c>
      <c r="I1" s="52" t="s">
        <v>49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49">
        <v>19817284</v>
      </c>
      <c r="C2" s="49">
        <v>0</v>
      </c>
      <c r="D2" s="49">
        <f>B2+C2</f>
        <v>19817284</v>
      </c>
      <c r="E2" s="50">
        <f>D2</f>
        <v>19817284</v>
      </c>
      <c r="F2" s="49">
        <v>22098600.992016077</v>
      </c>
      <c r="G2" s="49">
        <v>466888</v>
      </c>
      <c r="H2" s="49">
        <f>F2-G2</f>
        <v>21631712.992016077</v>
      </c>
      <c r="I2" s="49">
        <f>AVERAGEIF(E2:E4,"&lt;&gt;0")</f>
        <v>21451700.132233333</v>
      </c>
      <c r="J2" s="49">
        <v>15416410.404733671</v>
      </c>
      <c r="K2" s="39">
        <f>IF(H2&gt;I2,IF(I2&gt;J2,I2,J2),H2)</f>
        <v>21451700.132233333</v>
      </c>
    </row>
    <row r="3" spans="1:11" s="23" customFormat="1" x14ac:dyDescent="0.25">
      <c r="A3" s="28">
        <v>2014</v>
      </c>
      <c r="B3" s="49">
        <v>21198652</v>
      </c>
      <c r="C3" s="49"/>
      <c r="D3" s="49">
        <f t="shared" ref="D3:D4" si="0">B3+C3</f>
        <v>21198652</v>
      </c>
      <c r="E3" s="50">
        <f>D3*Pristalsregulering!C7</f>
        <v>21215610.921599999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22959175</v>
      </c>
      <c r="C4" s="49"/>
      <c r="D4" s="49">
        <f t="shared" si="0"/>
        <v>22959175</v>
      </c>
      <c r="E4" s="50">
        <f>D4*Pristalsregulering!$C$6*Pristalsregulering!$C$7</f>
        <v>23322205.475099996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22" customWidth="1"/>
    <col min="5" max="5" width="30.7109375" style="55" customWidth="1"/>
    <col min="6" max="6" width="30.7109375" customWidth="1"/>
    <col min="7" max="7" width="30.7109375" style="22" customWidth="1"/>
    <col min="8" max="8" width="30.7109375" style="55" customWidth="1"/>
    <col min="9" max="9" width="30.7109375" customWidth="1"/>
    <col min="10" max="10" width="30.7109375" style="22" customWidth="1"/>
    <col min="11" max="11" width="30.7109375" style="55" customWidth="1"/>
    <col min="12" max="12" width="9.140625" hidden="1" customWidth="1"/>
    <col min="13" max="18" width="0" hidden="1" customWidth="1"/>
    <col min="19" max="19" width="9.140625" hidden="1" customWidth="1"/>
    <col min="20" max="33" width="0" hidden="1" customWidth="1"/>
    <col min="34" max="34" width="9.140625" hidden="1" customWidth="1"/>
    <col min="35" max="40" width="0" hidden="1" customWidth="1"/>
    <col min="41" max="41" width="9.140625" hidden="1" customWidth="1"/>
    <col min="42" max="47" width="0" hidden="1" customWidth="1"/>
    <col min="48" max="48" width="9.140625" hidden="1" customWidth="1"/>
    <col min="49" max="54" width="0" hidden="1" customWidth="1"/>
    <col min="55" max="55" width="9.140625" hidden="1" customWidth="1"/>
    <col min="56" max="85" width="0" hidden="1" customWidth="1"/>
    <col min="86" max="86" width="9.140625" hidden="1" customWidth="1"/>
    <col min="87" max="92" width="0" hidden="1" customWidth="1"/>
    <col min="93" max="93" width="9.140625" hidden="1" customWidth="1"/>
    <col min="94" max="107" width="0" hidden="1" customWidth="1"/>
    <col min="108" max="108" width="9.140625" hidden="1" customWidth="1"/>
    <col min="109" max="114" width="0" hidden="1" customWidth="1"/>
    <col min="115" max="115" width="9.140625" hidden="1" customWidth="1"/>
    <col min="116" max="121" width="0" hidden="1" customWidth="1"/>
    <col min="122" max="122" width="9.140625" hidden="1" customWidth="1"/>
    <col min="123" max="128" width="0" hidden="1" customWidth="1"/>
    <col min="129" max="130" width="9.140625" hidden="1" customWidth="1"/>
    <col min="131" max="136" width="0" hidden="1" customWidth="1"/>
    <col min="137" max="137" width="9.140625" hidden="1" customWidth="1"/>
    <col min="138" max="143" width="0" hidden="1" customWidth="1"/>
    <col min="144" max="144" width="9.140625" hidden="1" customWidth="1"/>
    <col min="145" max="150" width="0" hidden="1" customWidth="1"/>
    <col min="151" max="151" width="9.140625" hidden="1" customWidth="1"/>
    <col min="152" max="157" width="0" hidden="1" customWidth="1"/>
    <col min="158" max="158" width="9.140625" hidden="1" customWidth="1"/>
    <col min="159" max="164" width="0" hidden="1" customWidth="1"/>
    <col min="165" max="165" width="9.140625" hidden="1" customWidth="1"/>
    <col min="166" max="166" width="0" hidden="1" customWidth="1"/>
    <col min="167" max="167" width="9.140625" hidden="1" customWidth="1"/>
    <col min="168" max="181" width="0" hidden="1" customWidth="1"/>
    <col min="182" max="182" width="9.140625" hidden="1" customWidth="1"/>
    <col min="183" max="188" width="0" hidden="1" customWidth="1"/>
    <col min="189" max="189" width="9.140625" hidden="1" customWidth="1"/>
    <col min="190" max="195" width="0" hidden="1" customWidth="1"/>
    <col min="196" max="196" width="9.140625" hidden="1" customWidth="1"/>
    <col min="197" max="202" width="0" hidden="1" customWidth="1"/>
    <col min="203" max="204" width="9.140625" hidden="1" customWidth="1"/>
    <col min="205" max="210" width="0" hidden="1" customWidth="1"/>
    <col min="211" max="211" width="9.140625" hidden="1" customWidth="1"/>
    <col min="212" max="217" width="0" hidden="1" customWidth="1"/>
    <col min="218" max="218" width="9.140625" hidden="1" customWidth="1"/>
    <col min="219" max="224" width="0" hidden="1" customWidth="1"/>
    <col min="225" max="225" width="9.140625" hidden="1" customWidth="1"/>
    <col min="226" max="231" width="0" hidden="1" customWidth="1"/>
    <col min="232" max="232" width="9.140625" hidden="1" customWidth="1"/>
    <col min="233" max="238" width="0" hidden="1" customWidth="1"/>
    <col min="239" max="240" width="9.140625" hidden="1" customWidth="1"/>
    <col min="241" max="246" width="0" hidden="1" customWidth="1"/>
    <col min="247" max="247" width="9.140625" hidden="1" customWidth="1"/>
    <col min="248" max="253" width="0" hidden="1" customWidth="1"/>
    <col min="254" max="254" width="9.140625" hidden="1" customWidth="1"/>
    <col min="255" max="260" width="0" hidden="1" customWidth="1"/>
    <col min="261" max="261" width="9.140625" hidden="1" customWidth="1"/>
    <col min="262" max="267" width="0" hidden="1" customWidth="1"/>
    <col min="268" max="268" width="9.140625" hidden="1" customWidth="1"/>
    <col min="269" max="274" width="0" hidden="1" customWidth="1"/>
    <col min="275" max="275" width="9.140625" hidden="1" customWidth="1"/>
    <col min="276" max="277" width="0" hidden="1" customWidth="1"/>
    <col min="278" max="278" width="9.140625" hidden="1" customWidth="1"/>
    <col min="279" max="284" width="0" hidden="1" customWidth="1"/>
    <col min="285" max="285" width="9.140625" hidden="1" customWidth="1"/>
    <col min="286" max="291" width="0" hidden="1" customWidth="1"/>
    <col min="292" max="292" width="9.140625" hidden="1" customWidth="1"/>
    <col min="293" max="298" width="0" hidden="1" customWidth="1"/>
    <col min="299" max="299" width="9.140625" hidden="1" customWidth="1"/>
    <col min="300" max="305" width="0" hidden="1" customWidth="1"/>
    <col min="306" max="307" width="9.140625" hidden="1" customWidth="1"/>
    <col min="308" max="313" width="0" hidden="1" customWidth="1"/>
    <col min="314" max="314" width="9.140625" hidden="1" customWidth="1"/>
    <col min="315" max="320" width="0" hidden="1" customWidth="1"/>
    <col min="321" max="321" width="9.140625" hidden="1" customWidth="1"/>
    <col min="322" max="327" width="0" hidden="1" customWidth="1"/>
    <col min="328" max="328" width="9.140625" hidden="1" customWidth="1"/>
    <col min="329" max="334" width="0" hidden="1" customWidth="1"/>
    <col min="335" max="335" width="9.140625" hidden="1" customWidth="1"/>
    <col min="336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76</v>
      </c>
      <c r="C1" s="33"/>
      <c r="D1" s="33"/>
      <c r="E1" s="65" t="s">
        <v>77</v>
      </c>
      <c r="F1" s="10"/>
      <c r="G1" s="10"/>
      <c r="H1" s="65" t="s">
        <v>78</v>
      </c>
      <c r="I1" s="10"/>
      <c r="J1" s="10"/>
      <c r="K1" s="65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50</v>
      </c>
      <c r="E2" s="56" t="s">
        <v>22</v>
      </c>
      <c r="F2" s="34" t="s">
        <v>23</v>
      </c>
      <c r="G2" s="34" t="s">
        <v>50</v>
      </c>
      <c r="H2" s="56" t="s">
        <v>22</v>
      </c>
      <c r="I2" s="34" t="s">
        <v>23</v>
      </c>
      <c r="J2" s="34" t="s">
        <v>50</v>
      </c>
      <c r="K2" s="53" t="s">
        <v>24</v>
      </c>
    </row>
    <row r="3" spans="1:11" s="22" customFormat="1" x14ac:dyDescent="0.25">
      <c r="A3" s="28">
        <v>2016</v>
      </c>
      <c r="B3" s="74">
        <v>510128</v>
      </c>
      <c r="C3" s="74">
        <v>179005</v>
      </c>
      <c r="D3" s="74">
        <v>263340</v>
      </c>
      <c r="E3" s="45">
        <f>B3/Pristalsregulering!$C$8</f>
        <v>512073.880746838</v>
      </c>
      <c r="F3" s="35">
        <f>C3/Pristalsregulering!$C$8</f>
        <v>179687.81369202971</v>
      </c>
      <c r="G3" s="35">
        <f>D3/Pristalsregulering!$C$8</f>
        <v>264344.50913471193</v>
      </c>
      <c r="H3" s="45">
        <f>IF(E4=0,0,AVERAGEIF(E4:E6,"&lt;&gt;0"))+E3</f>
        <v>512073.880746838</v>
      </c>
      <c r="I3" s="38">
        <f>IF(F4=0,0,AVERAGEIF(F4:F6,"&lt;&gt;0"))+F3</f>
        <v>179687.81369202971</v>
      </c>
      <c r="J3" s="38">
        <f>IF(G4=0,0,AVERAGEIF(G4:G6,"&lt;&gt;0"))+G3</f>
        <v>264344.50913471193</v>
      </c>
      <c r="K3" s="57">
        <f>SUM(H3:J3)</f>
        <v>956106.20357357967</v>
      </c>
    </row>
    <row r="4" spans="1:11" x14ac:dyDescent="0.25">
      <c r="A4" s="28">
        <v>2015</v>
      </c>
      <c r="B4" s="35"/>
      <c r="C4" s="35"/>
      <c r="D4" s="35"/>
      <c r="E4" s="45">
        <f t="shared" ref="E4:G4" si="0">B4</f>
        <v>0</v>
      </c>
      <c r="F4" s="35">
        <f t="shared" si="0"/>
        <v>0</v>
      </c>
      <c r="G4" s="35">
        <f t="shared" si="0"/>
        <v>0</v>
      </c>
      <c r="H4" s="45"/>
      <c r="I4" s="38"/>
      <c r="J4" s="38"/>
      <c r="K4" s="54"/>
    </row>
    <row r="5" spans="1:11" x14ac:dyDescent="0.25">
      <c r="A5" s="28">
        <v>2014</v>
      </c>
      <c r="B5" s="35"/>
      <c r="C5" s="35"/>
      <c r="D5" s="35"/>
      <c r="E5" s="45">
        <f>B5*Pristalsregulering!$C$7</f>
        <v>0</v>
      </c>
      <c r="F5" s="35">
        <f>C5*Pristalsregulering!$C$7</f>
        <v>0</v>
      </c>
      <c r="G5" s="35">
        <f>D5*Pristalsregulering!$C$7</f>
        <v>0</v>
      </c>
      <c r="H5" s="45"/>
      <c r="I5" s="35"/>
      <c r="J5" s="38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8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25</v>
      </c>
      <c r="C1" s="76"/>
      <c r="D1" s="76"/>
      <c r="E1" s="77" t="s">
        <v>56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40000</v>
      </c>
      <c r="C3" s="42">
        <v>103520</v>
      </c>
      <c r="D3" s="42">
        <v>0</v>
      </c>
      <c r="E3" s="41">
        <f>B3</f>
        <v>40000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131242.66879999998</v>
      </c>
    </row>
    <row r="4" spans="1:8" x14ac:dyDescent="0.25">
      <c r="A4" s="31">
        <v>2014</v>
      </c>
      <c r="B4" s="41">
        <v>42500</v>
      </c>
      <c r="C4" s="42">
        <v>78400</v>
      </c>
      <c r="D4" s="42">
        <v>0</v>
      </c>
      <c r="E4" s="41">
        <f>B4*Pristalsregulering!$C$7</f>
        <v>42533.999999999993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52000</v>
      </c>
      <c r="C5" s="42">
        <v>75200</v>
      </c>
      <c r="D5" s="42">
        <v>0</v>
      </c>
      <c r="E5" s="41">
        <f>B5*Pristalsregulering!$C$7*Pristalsregulering!$C$6</f>
        <v>52822.223999999995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70</v>
      </c>
      <c r="C1" s="78"/>
      <c r="D1" s="79"/>
      <c r="E1" s="80" t="s">
        <v>71</v>
      </c>
      <c r="F1" s="80"/>
      <c r="G1" s="80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79</v>
      </c>
      <c r="E2" s="22" t="s">
        <v>0</v>
      </c>
      <c r="F2" s="22" t="s">
        <v>1</v>
      </c>
      <c r="G2" s="22" t="s">
        <v>79</v>
      </c>
    </row>
    <row r="3" spans="1:7" s="22" customFormat="1" x14ac:dyDescent="0.25">
      <c r="A3" s="72">
        <v>2015</v>
      </c>
      <c r="B3" s="38">
        <v>34760187.566947915</v>
      </c>
      <c r="C3" s="38">
        <v>6105614.0466666678</v>
      </c>
      <c r="D3" s="40">
        <v>730408.56976666697</v>
      </c>
      <c r="E3" s="35">
        <f>B3*Pristalsregulering!C2*Pristalsregulering!C3*Pristalsregulering!C4*Pristalsregulering!C5*Pristalsregulering!C6*Pristalsregulering!C7</f>
        <v>37843380.229819067</v>
      </c>
      <c r="F3" s="35">
        <v>6270471.387534786</v>
      </c>
      <c r="G3" s="35">
        <f xml:space="preserve"> D3/Pristalsregulering!$C$8</f>
        <v>733194.70966338785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41</v>
      </c>
      <c r="C1" s="76"/>
      <c r="D1" s="76"/>
      <c r="E1" s="76"/>
      <c r="F1" s="77" t="s">
        <v>57</v>
      </c>
      <c r="G1" s="78"/>
      <c r="H1" s="78"/>
      <c r="I1" s="78"/>
      <c r="J1" s="81" t="s">
        <v>30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74</v>
      </c>
      <c r="M2" s="6" t="s">
        <v>29</v>
      </c>
      <c r="N2" s="32"/>
    </row>
    <row r="3" spans="1:14" x14ac:dyDescent="0.25">
      <c r="A3" s="28">
        <v>2015</v>
      </c>
      <c r="B3" s="45">
        <v>127313</v>
      </c>
      <c r="C3" s="38">
        <v>1423942</v>
      </c>
      <c r="D3" s="38">
        <v>0</v>
      </c>
      <c r="E3" s="40">
        <v>0</v>
      </c>
      <c r="F3" s="38">
        <f>B3</f>
        <v>127313</v>
      </c>
      <c r="G3" s="38">
        <f>C3</f>
        <v>1423942</v>
      </c>
      <c r="H3" s="38">
        <f>D3</f>
        <v>0</v>
      </c>
      <c r="I3" s="40">
        <f>E3</f>
        <v>0</v>
      </c>
      <c r="J3" s="42">
        <f>AVERAGE(F3:F5)</f>
        <v>333403.1780066666</v>
      </c>
      <c r="K3" s="42">
        <f>G3</f>
        <v>1423942</v>
      </c>
      <c r="L3" s="43">
        <f>AVERAGE(H3:H5)+AVERAGE(I3:I5)</f>
        <v>0</v>
      </c>
      <c r="M3" s="44">
        <f>SUM(J3:L3)</f>
        <v>1757345.1780066667</v>
      </c>
      <c r="N3" s="23"/>
    </row>
    <row r="4" spans="1:14" x14ac:dyDescent="0.25">
      <c r="A4" s="28">
        <v>2014</v>
      </c>
      <c r="B4" s="45">
        <v>27531</v>
      </c>
      <c r="C4" s="38">
        <v>1302464</v>
      </c>
      <c r="D4" s="38">
        <v>0</v>
      </c>
      <c r="E4" s="40">
        <v>0</v>
      </c>
      <c r="F4" s="38">
        <f>IF(B4="","",B4*Pristalsregulering!$C$7)</f>
        <v>27553.024799999999</v>
      </c>
      <c r="G4" s="38">
        <f>IF(C4="","",C4*Pristalsregulering!$C$7)</f>
        <v>1303505.9711999998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832185</v>
      </c>
      <c r="C5" s="38">
        <v>1317740</v>
      </c>
      <c r="D5" s="38">
        <v>0</v>
      </c>
      <c r="E5" s="40">
        <v>0</v>
      </c>
      <c r="F5" s="38">
        <f>IF(B5="","",B5*Pristalsregulering!$C$7*Pristalsregulering!$C$6)</f>
        <v>845343.50921999977</v>
      </c>
      <c r="G5" s="38">
        <f>IF(C5="","",C5*Pristalsregulering!$C$7*Pristalsregulering!$C$6)</f>
        <v>1338576.1048799998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58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68523</v>
      </c>
      <c r="E2" s="42">
        <v>319272</v>
      </c>
      <c r="F2" s="42">
        <v>5958663</v>
      </c>
      <c r="G2" s="42">
        <v>0</v>
      </c>
      <c r="H2" s="42">
        <v>1280040</v>
      </c>
      <c r="I2" s="42">
        <v>0</v>
      </c>
      <c r="J2" s="42"/>
      <c r="K2" s="42"/>
      <c r="L2" s="43">
        <v>0</v>
      </c>
      <c r="M2" s="44">
        <f>SUM(B2:L2)</f>
        <v>7659021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59</v>
      </c>
      <c r="B1" s="64" t="s">
        <v>60</v>
      </c>
    </row>
    <row r="2" spans="1:2" x14ac:dyDescent="0.25">
      <c r="A2" s="23" t="s">
        <v>75</v>
      </c>
      <c r="B2" s="35">
        <v>407366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2017-10-13T11:57:38Z</dcterms:modified>
</cp:coreProperties>
</file>