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G19" i="19"/>
  <c r="G20" i="19" s="1"/>
  <c r="E11" i="2" s="1"/>
  <c r="F22" i="11" l="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E10" i="15" s="1"/>
  <c r="G12" i="7"/>
  <c r="E9" i="2" l="1"/>
  <c r="E15" i="13"/>
  <c r="F11" i="11"/>
  <c r="F23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24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G36" i="2" l="1"/>
  <c r="E12" i="15" l="1"/>
  <c r="E13" i="15"/>
  <c r="E15" i="15" l="1"/>
  <c r="G15" i="15" s="1"/>
  <c r="G18" i="15" s="1"/>
</calcChain>
</file>

<file path=xl/sharedStrings.xml><?xml version="1.0" encoding="utf-8"?>
<sst xmlns="http://schemas.openxmlformats.org/spreadsheetml/2006/main" count="382" uniqueCount="193">
  <si>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</si>
  <si>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</si>
  <si>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</si>
  <si>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</si>
  <si>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</si>
  <si>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</si>
  <si>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</si>
  <si>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</si>
  <si>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</si>
  <si>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</si>
  <si>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</si>
  <si>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</si>
  <si>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</si>
  <si>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</si>
  <si>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</si>
  <si>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</si>
  <si>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</si>
  <si>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</si>
  <si>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</si>
  <si>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</si>
  <si>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</si>
  <si>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</si>
  <si>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</si>
  <si>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</si>
  <si>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</si>
  <si>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</si>
  <si>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</si>
  <si>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</si>
  <si>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</si>
  <si>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</si>
  <si>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</si>
  <si>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</si>
  <si>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</si>
  <si>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</si>
  <si>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</si>
  <si>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</si>
  <si>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</si>
  <si>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</si>
  <si>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</si>
  <si>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</si>
  <si>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</si>
  <si>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</si>
  <si>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</si>
  <si>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</si>
  <si>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</si>
  <si>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</si>
  <si>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</si>
  <si>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</si>
  <si>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</si>
  <si>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</si>
  <si>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</si>
  <si>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</si>
  <si>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</si>
  <si>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</si>
  <si>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</si>
  <si>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</si>
  <si>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</si>
  <si>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</si>
  <si>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</si>
  <si>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</si>
  <si>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</si>
  <si>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</si>
  <si>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</si>
  <si>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</si>
  <si>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</si>
  <si>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</si>
  <si>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</si>
  <si>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</si>
  <si>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</si>
  <si>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</si>
  <si>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</si>
  <si>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</si>
  <si>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</si>
  <si>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</si>
  <si>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</si>
  <si>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</si>
  <si>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</si>
  <si>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</si>
  <si>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</si>
  <si>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</si>
  <si>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</si>
  <si>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</si>
  <si>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</si>
  <si>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</si>
  <si>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</si>
  <si>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</si>
  <si>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</si>
  <si>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</si>
  <si>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</si>
  <si>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</si>
  <si>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</si>
  <si>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</si>
  <si>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</si>
  <si>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</si>
  <si>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</si>
  <si>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</si>
  <si>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</si>
  <si>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</si>
  <si>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</si>
  <si>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</si>
  <si>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</si>
  <si>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</si>
  <si>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</si>
  <si>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</si>
  <si>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</si>
  <si>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</si>
  <si>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</si>
  <si>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</si>
  <si>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</si>
  <si>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</si>
  <si>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</si>
  <si>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</si>
  <si>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</si>
  <si>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</si>
  <si>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</si>
  <si>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</si>
  <si>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</si>
  <si>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</si>
  <si>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</si>
  <si>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</si>
  <si>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</si>
  <si>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</si>
  <si>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</si>
  <si>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</si>
  <si>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</si>
  <si>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</si>
  <si>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</si>
  <si>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</si>
  <si>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</si>
  <si>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</si>
  <si>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</si>
  <si>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</si>
  <si>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</si>
  <si>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</si>
  <si>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</si>
  <si>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</si>
  <si>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</si>
  <si>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</si>
  <si>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</si>
  <si>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</si>
  <si>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</si>
  <si>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</si>
  <si>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</si>
  <si>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</si>
  <si>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</si>
  <si>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</si>
  <si>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</si>
  <si>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</si>
  <si>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</si>
  <si>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Pumpestationer i brønde (&lt; 6,25 m2), Mek/EL</t>
  </si>
  <si>
    <t>GIS</t>
  </si>
  <si>
    <t>SRO</t>
  </si>
  <si>
    <t>Model software</t>
  </si>
  <si>
    <t>Strømpeforing Ø 200 mm &lt; Ledningsnet ≤ Ø 500 mm</t>
  </si>
  <si>
    <t>Jordbassin Klasse A</t>
  </si>
  <si>
    <t>Pumpestationer i brønde (&lt; 6,25 m2), Konstruktioner</t>
  </si>
  <si>
    <t>Installationer "mekaniske riste og SRO" Miljøklasse A. (7-20 m2) - Mek/EL</t>
  </si>
  <si>
    <t>Kælder (&lt; 7 m2)</t>
  </si>
  <si>
    <t>Strømpeforing ≤ Ø 200 mm</t>
  </si>
  <si>
    <t>Pumpeinstallation Miljøklasse A (600-1.000 l/s) - SRO</t>
  </si>
  <si>
    <t>Pumpestationer i brønde (&lt; 6,25 m2),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</si>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</sst>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1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124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100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144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5" t="s">
        <v>181</v>
      </c>
      <c r="C8" s="106"/>
      <c r="D8" s="106"/>
      <c r="E8" s="106"/>
      <c r="F8" s="106"/>
      <c r="G8" s="106"/>
      <c r="H8" s="107"/>
      <c r="I8" s="2"/>
    </row>
    <row r="9" spans="1:9" x14ac:dyDescent="0.25">
      <c r="A9" s="2"/>
      <c r="B9" s="100" t="s">
        <v>80</v>
      </c>
      <c r="C9" s="89"/>
      <c r="D9" s="89"/>
      <c r="E9" s="89"/>
      <c r="F9" s="90"/>
      <c r="G9" s="27">
        <v>8996545.6400000006</v>
      </c>
      <c r="H9" s="23" t="s">
        <v>4</v>
      </c>
      <c r="I9" s="2"/>
    </row>
    <row r="10" spans="1:9" x14ac:dyDescent="0.25">
      <c r="A10" s="2"/>
      <c r="B10" s="100" t="s">
        <v>81</v>
      </c>
      <c r="C10" s="89"/>
      <c r="D10" s="89"/>
      <c r="E10" s="89"/>
      <c r="F10" s="90"/>
      <c r="G10" s="27">
        <v>8185000</v>
      </c>
      <c r="H10" s="23" t="s">
        <v>4</v>
      </c>
      <c r="I10" s="2"/>
    </row>
    <row r="11" spans="1:9" x14ac:dyDescent="0.25">
      <c r="A11" s="2"/>
      <c r="B11" s="85" t="s">
        <v>182</v>
      </c>
      <c r="C11" s="86"/>
      <c r="D11" s="86"/>
      <c r="E11" s="86"/>
      <c r="F11" s="87"/>
      <c r="G11" s="21">
        <f>G9-G10</f>
        <v>811545.6400000006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5" t="s">
        <v>183</v>
      </c>
      <c r="C14" s="106"/>
      <c r="D14" s="106"/>
      <c r="E14" s="106"/>
      <c r="F14" s="106"/>
      <c r="G14" s="106"/>
      <c r="H14" s="107"/>
      <c r="I14" s="2"/>
    </row>
    <row r="15" spans="1:9" x14ac:dyDescent="0.25">
      <c r="A15" s="2"/>
      <c r="B15" s="100" t="s">
        <v>82</v>
      </c>
      <c r="C15" s="89"/>
      <c r="D15" s="89"/>
      <c r="E15" s="89"/>
      <c r="F15" s="90"/>
      <c r="G15" s="27">
        <v>6650167</v>
      </c>
      <c r="H15" s="23" t="s">
        <v>4</v>
      </c>
      <c r="I15" s="2"/>
    </row>
    <row r="16" spans="1:9" x14ac:dyDescent="0.25">
      <c r="A16" s="2"/>
      <c r="B16" s="100" t="s">
        <v>83</v>
      </c>
      <c r="C16" s="89"/>
      <c r="D16" s="89"/>
      <c r="E16" s="89"/>
      <c r="F16" s="90"/>
      <c r="G16" s="27">
        <v>1200000</v>
      </c>
      <c r="H16" s="23" t="s">
        <v>4</v>
      </c>
      <c r="I16" s="2"/>
    </row>
    <row r="17" spans="1:9" x14ac:dyDescent="0.25">
      <c r="A17" s="2"/>
      <c r="B17" s="85" t="s">
        <v>183</v>
      </c>
      <c r="C17" s="86"/>
      <c r="D17" s="86"/>
      <c r="E17" s="86"/>
      <c r="F17" s="87"/>
      <c r="G17" s="21">
        <f>G15-G16</f>
        <v>5450167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5" t="s">
        <v>184</v>
      </c>
      <c r="C20" s="106"/>
      <c r="D20" s="106"/>
      <c r="E20" s="106"/>
      <c r="F20" s="106"/>
      <c r="G20" s="106"/>
      <c r="H20" s="107"/>
      <c r="I20" s="2"/>
    </row>
    <row r="21" spans="1:9" x14ac:dyDescent="0.25">
      <c r="A21" s="2"/>
      <c r="B21" s="100" t="s">
        <v>84</v>
      </c>
      <c r="C21" s="89"/>
      <c r="D21" s="89"/>
      <c r="E21" s="89"/>
      <c r="F21" s="90"/>
      <c r="G21" s="27">
        <v>539918</v>
      </c>
      <c r="H21" s="23" t="s">
        <v>4</v>
      </c>
      <c r="I21" s="2"/>
    </row>
    <row r="22" spans="1:9" x14ac:dyDescent="0.25">
      <c r="A22" s="2"/>
      <c r="B22" s="100" t="s">
        <v>85</v>
      </c>
      <c r="C22" s="89"/>
      <c r="D22" s="89"/>
      <c r="E22" s="89"/>
      <c r="F22" s="90"/>
      <c r="G22" s="27">
        <v>584992</v>
      </c>
      <c r="H22" s="23" t="s">
        <v>4</v>
      </c>
      <c r="I22" s="2"/>
    </row>
    <row r="23" spans="1:9" x14ac:dyDescent="0.25">
      <c r="A23" s="2"/>
      <c r="B23" s="85" t="s">
        <v>184</v>
      </c>
      <c r="C23" s="86"/>
      <c r="D23" s="86"/>
      <c r="E23" s="86"/>
      <c r="F23" s="87"/>
      <c r="G23" s="21">
        <f>G21-G22</f>
        <v>-45074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5" t="s">
        <v>185</v>
      </c>
      <c r="C26" s="106"/>
      <c r="D26" s="106"/>
      <c r="E26" s="106"/>
      <c r="F26" s="106"/>
      <c r="G26" s="106"/>
      <c r="H26" s="107"/>
      <c r="I26" s="2"/>
    </row>
    <row r="27" spans="1:9" ht="29.25" customHeight="1" x14ac:dyDescent="0.25">
      <c r="A27" s="2"/>
      <c r="B27" s="94" t="s">
        <v>86</v>
      </c>
      <c r="C27" s="95"/>
      <c r="D27" s="95"/>
      <c r="E27" s="95"/>
      <c r="F27" s="96"/>
      <c r="G27" s="27">
        <v>0</v>
      </c>
      <c r="H27" s="23" t="s">
        <v>4</v>
      </c>
      <c r="I27" s="2"/>
    </row>
    <row r="28" spans="1:9" x14ac:dyDescent="0.25">
      <c r="A28" s="2"/>
      <c r="B28" s="100" t="s">
        <v>87</v>
      </c>
      <c r="C28" s="89"/>
      <c r="D28" s="89"/>
      <c r="E28" s="89"/>
      <c r="F28" s="90"/>
      <c r="G28" s="27">
        <v>258447</v>
      </c>
      <c r="H28" s="23" t="s">
        <v>4</v>
      </c>
      <c r="I28" s="2"/>
    </row>
    <row r="29" spans="1:9" ht="15" customHeight="1" x14ac:dyDescent="0.25">
      <c r="A29" s="2"/>
      <c r="B29" s="105" t="s">
        <v>185</v>
      </c>
      <c r="C29" s="106"/>
      <c r="D29" s="106"/>
      <c r="E29" s="106"/>
      <c r="F29" s="107"/>
      <c r="G29" s="21">
        <f>G27-G28</f>
        <v>-258447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5" t="s">
        <v>88</v>
      </c>
      <c r="C32" s="106"/>
      <c r="D32" s="106"/>
      <c r="E32" s="106"/>
      <c r="F32" s="106"/>
      <c r="G32" s="106"/>
      <c r="H32" s="107"/>
      <c r="I32" s="2"/>
    </row>
    <row r="33" spans="1:9" x14ac:dyDescent="0.25">
      <c r="A33" s="2"/>
      <c r="B33" s="100" t="s">
        <v>89</v>
      </c>
      <c r="C33" s="89"/>
      <c r="D33" s="89"/>
      <c r="E33" s="89"/>
      <c r="F33" s="90"/>
      <c r="G33" s="12">
        <f>'Fane 8. Gen. inv. i 2016'!F24</f>
        <v>828530.49333333317</v>
      </c>
      <c r="H33" s="23" t="s">
        <v>4</v>
      </c>
      <c r="I33" s="2"/>
    </row>
    <row r="34" spans="1:9" x14ac:dyDescent="0.25">
      <c r="A34" s="2"/>
      <c r="B34" s="100" t="s">
        <v>90</v>
      </c>
      <c r="C34" s="89"/>
      <c r="D34" s="89"/>
      <c r="E34" s="89"/>
      <c r="F34" s="90"/>
      <c r="G34" s="27">
        <v>361758.76</v>
      </c>
      <c r="H34" s="23" t="s">
        <v>4</v>
      </c>
      <c r="I34" s="2"/>
    </row>
    <row r="35" spans="1:9" x14ac:dyDescent="0.25">
      <c r="A35" s="2"/>
      <c r="B35" s="85" t="s">
        <v>88</v>
      </c>
      <c r="C35" s="86"/>
      <c r="D35" s="86"/>
      <c r="E35" s="86"/>
      <c r="F35" s="87"/>
      <c r="G35" s="21">
        <f>G33-G34</f>
        <v>466771.73333333316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5" t="s">
        <v>186</v>
      </c>
      <c r="C38" s="86"/>
      <c r="D38" s="86"/>
      <c r="E38" s="86"/>
      <c r="F38" s="86"/>
      <c r="G38" s="86"/>
      <c r="H38" s="87"/>
      <c r="I38" s="2"/>
    </row>
    <row r="39" spans="1:9" x14ac:dyDescent="0.25">
      <c r="A39" s="2"/>
      <c r="B39" s="100" t="s">
        <v>146</v>
      </c>
      <c r="C39" s="89"/>
      <c r="D39" s="89"/>
      <c r="E39" s="89"/>
      <c r="F39" s="90"/>
      <c r="G39" s="27">
        <v>1448994.19</v>
      </c>
      <c r="H39" s="23" t="s">
        <v>4</v>
      </c>
      <c r="I39" s="2"/>
    </row>
    <row r="40" spans="1:9" x14ac:dyDescent="0.25">
      <c r="A40" s="2"/>
      <c r="B40" s="100" t="s">
        <v>79</v>
      </c>
      <c r="C40" s="89"/>
      <c r="D40" s="89"/>
      <c r="E40" s="89"/>
      <c r="F40" s="90"/>
      <c r="G40" s="27">
        <v>1309123.8072763199</v>
      </c>
      <c r="H40" s="23" t="s">
        <v>4</v>
      </c>
      <c r="I40" s="2"/>
    </row>
    <row r="41" spans="1:9" x14ac:dyDescent="0.25">
      <c r="A41" s="2"/>
      <c r="B41" s="85" t="s">
        <v>186</v>
      </c>
      <c r="C41" s="86"/>
      <c r="D41" s="86"/>
      <c r="E41" s="86"/>
      <c r="F41" s="87"/>
      <c r="G41" s="21">
        <f>G39-G40</f>
        <v>139870.38272368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91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92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1" t="s">
        <v>93</v>
      </c>
      <c r="C9" s="102"/>
      <c r="D9" s="102"/>
      <c r="E9" s="102"/>
      <c r="F9" s="103"/>
      <c r="G9" s="26">
        <v>50068994.510257877</v>
      </c>
      <c r="H9" s="38" t="s">
        <v>4</v>
      </c>
      <c r="I9" s="2"/>
    </row>
    <row r="10" spans="1:9" x14ac:dyDescent="0.25">
      <c r="A10" s="2"/>
      <c r="B10" s="85" t="s">
        <v>94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100" t="s">
        <v>19</v>
      </c>
      <c r="C11" s="89"/>
      <c r="D11" s="90"/>
      <c r="E11" s="27">
        <v>22688534</v>
      </c>
      <c r="F11" s="23" t="s">
        <v>4</v>
      </c>
      <c r="G11" s="20"/>
      <c r="H11" s="42"/>
      <c r="I11" s="2"/>
    </row>
    <row r="12" spans="1:9" x14ac:dyDescent="0.25">
      <c r="A12" s="2"/>
      <c r="B12" s="100" t="s">
        <v>95</v>
      </c>
      <c r="C12" s="89"/>
      <c r="D12" s="90"/>
      <c r="E12" s="27">
        <v>889218.12456666655</v>
      </c>
      <c r="F12" s="23" t="s">
        <v>4</v>
      </c>
      <c r="G12" s="15"/>
      <c r="H12" s="43"/>
      <c r="I12" s="2"/>
    </row>
    <row r="13" spans="1:9" x14ac:dyDescent="0.25">
      <c r="A13" s="2"/>
      <c r="B13" s="100" t="s">
        <v>96</v>
      </c>
      <c r="C13" s="89"/>
      <c r="D13" s="90"/>
      <c r="E13" s="27">
        <v>50403</v>
      </c>
      <c r="F13" s="23" t="s">
        <v>4</v>
      </c>
      <c r="G13" s="15"/>
      <c r="H13" s="43"/>
      <c r="I13" s="2"/>
    </row>
    <row r="14" spans="1:9" x14ac:dyDescent="0.25">
      <c r="A14" s="2"/>
      <c r="B14" s="100" t="s">
        <v>97</v>
      </c>
      <c r="C14" s="89"/>
      <c r="D14" s="90"/>
      <c r="E14" s="27">
        <v>779625.96</v>
      </c>
      <c r="F14" s="23" t="s">
        <v>4</v>
      </c>
      <c r="G14" s="15"/>
      <c r="H14" s="43"/>
      <c r="I14" s="2"/>
    </row>
    <row r="15" spans="1:9" x14ac:dyDescent="0.25">
      <c r="A15" s="2"/>
      <c r="B15" s="101" t="s">
        <v>20</v>
      </c>
      <c r="C15" s="102"/>
      <c r="D15" s="103"/>
      <c r="E15" s="18">
        <f>SUM(E11:E14)</f>
        <v>24407781.084566668</v>
      </c>
      <c r="F15" s="38" t="s">
        <v>4</v>
      </c>
      <c r="G15" s="15"/>
      <c r="H15" s="43"/>
      <c r="I15" s="2"/>
    </row>
    <row r="16" spans="1:9" x14ac:dyDescent="0.25">
      <c r="A16" s="2"/>
      <c r="B16" s="100" t="s">
        <v>21</v>
      </c>
      <c r="C16" s="89"/>
      <c r="D16" s="90"/>
      <c r="E16" s="27">
        <v>171056</v>
      </c>
      <c r="F16" s="23" t="s">
        <v>4</v>
      </c>
      <c r="G16" s="15"/>
      <c r="H16" s="43"/>
      <c r="I16" s="2"/>
    </row>
    <row r="17" spans="1:9" x14ac:dyDescent="0.25">
      <c r="A17" s="2"/>
      <c r="B17" s="100" t="s">
        <v>22</v>
      </c>
      <c r="C17" s="89"/>
      <c r="D17" s="90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100" t="s">
        <v>23</v>
      </c>
      <c r="C18" s="89"/>
      <c r="D18" s="90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101" t="s">
        <v>24</v>
      </c>
      <c r="C19" s="102"/>
      <c r="D19" s="103"/>
      <c r="E19" s="18">
        <f>SUM(E16:E18)</f>
        <v>171056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4" t="s">
        <v>25</v>
      </c>
      <c r="C20" s="95"/>
      <c r="D20" s="96"/>
      <c r="E20" s="27">
        <v>-32930000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4" t="s">
        <v>26</v>
      </c>
      <c r="C21" s="95"/>
      <c r="D21" s="96"/>
      <c r="E21" s="27">
        <v>-24213639</v>
      </c>
      <c r="F21" s="23" t="s">
        <v>4</v>
      </c>
      <c r="G21" s="15"/>
      <c r="H21" s="43"/>
      <c r="I21" s="2"/>
    </row>
    <row r="22" spans="1:9" x14ac:dyDescent="0.25">
      <c r="A22" s="2"/>
      <c r="B22" s="100" t="s">
        <v>27</v>
      </c>
      <c r="C22" s="89"/>
      <c r="D22" s="90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100" t="s">
        <v>28</v>
      </c>
      <c r="C23" s="89"/>
      <c r="D23" s="90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4" t="s">
        <v>29</v>
      </c>
      <c r="C24" s="95"/>
      <c r="D24" s="96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4" t="s">
        <v>30</v>
      </c>
      <c r="C25" s="95"/>
      <c r="D25" s="96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4" t="s">
        <v>31</v>
      </c>
      <c r="C26" s="95"/>
      <c r="D26" s="96"/>
      <c r="E26" s="27">
        <v>-1386487</v>
      </c>
      <c r="F26" s="23" t="s">
        <v>4</v>
      </c>
      <c r="G26" s="15"/>
      <c r="H26" s="43"/>
      <c r="I26" s="2"/>
    </row>
    <row r="27" spans="1:9" x14ac:dyDescent="0.25">
      <c r="A27" s="2"/>
      <c r="B27" s="101" t="s">
        <v>32</v>
      </c>
      <c r="C27" s="102"/>
      <c r="D27" s="103"/>
      <c r="E27" s="18">
        <f>SUM(E20:E26)</f>
        <v>-58530126</v>
      </c>
      <c r="F27" s="38" t="s">
        <v>4</v>
      </c>
      <c r="G27" s="16"/>
      <c r="H27" s="44"/>
      <c r="I27" s="2"/>
    </row>
    <row r="28" spans="1:9" x14ac:dyDescent="0.25">
      <c r="A28" s="2"/>
      <c r="B28" s="101" t="s">
        <v>33</v>
      </c>
      <c r="C28" s="102"/>
      <c r="D28" s="103"/>
      <c r="E28" s="18">
        <f>E15+E19+E27</f>
        <v>-33951288.915433332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85" t="s">
        <v>98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101" t="s">
        <v>98</v>
      </c>
      <c r="C30" s="102"/>
      <c r="D30" s="103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8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94" t="s">
        <v>58</v>
      </c>
      <c r="C32" s="95"/>
      <c r="D32" s="96"/>
      <c r="E32" s="27">
        <v>43186788</v>
      </c>
      <c r="F32" s="23" t="s">
        <v>4</v>
      </c>
      <c r="G32" s="20"/>
      <c r="H32" s="42"/>
      <c r="I32" s="2"/>
    </row>
    <row r="33" spans="1:9" x14ac:dyDescent="0.25">
      <c r="A33" s="2"/>
      <c r="B33" s="100" t="s">
        <v>34</v>
      </c>
      <c r="C33" s="89"/>
      <c r="D33" s="90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4" t="s">
        <v>35</v>
      </c>
      <c r="C34" s="95"/>
      <c r="D34" s="96"/>
      <c r="E34" s="27">
        <v>422076</v>
      </c>
      <c r="F34" s="23" t="s">
        <v>4</v>
      </c>
      <c r="G34" s="16"/>
      <c r="H34" s="44"/>
      <c r="I34" s="2"/>
    </row>
    <row r="35" spans="1:9" x14ac:dyDescent="0.25">
      <c r="A35" s="2"/>
      <c r="B35" s="101" t="s">
        <v>36</v>
      </c>
      <c r="C35" s="102"/>
      <c r="D35" s="103"/>
      <c r="E35" s="18">
        <f>SUM(E32:E34)</f>
        <v>43608864</v>
      </c>
      <c r="F35" s="38" t="s">
        <v>4</v>
      </c>
      <c r="G35" s="18">
        <f>-E35</f>
        <v>-43608864</v>
      </c>
      <c r="H35" s="38" t="s">
        <v>4</v>
      </c>
      <c r="I35" s="2"/>
    </row>
    <row r="36" spans="1:9" x14ac:dyDescent="0.25">
      <c r="A36" s="2"/>
      <c r="B36" s="85" t="s">
        <v>99</v>
      </c>
      <c r="C36" s="86"/>
      <c r="D36" s="86"/>
      <c r="E36" s="86"/>
      <c r="F36" s="87"/>
      <c r="G36" s="21">
        <f>$G$9+$G$28+$G$30+$G$35</f>
        <v>6460130.5102578774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128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178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91" t="s">
        <v>118</v>
      </c>
      <c r="C9" s="93"/>
      <c r="D9" s="117" t="s">
        <v>47</v>
      </c>
      <c r="E9" s="117"/>
      <c r="F9" s="117" t="s">
        <v>129</v>
      </c>
      <c r="G9" s="117"/>
      <c r="H9" s="2"/>
    </row>
    <row r="10" spans="1:8" x14ac:dyDescent="0.25">
      <c r="A10" s="2"/>
      <c r="B10" s="119" t="s">
        <v>179</v>
      </c>
      <c r="C10" s="120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135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148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174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91" t="s">
        <v>192</v>
      </c>
      <c r="C16" s="92"/>
      <c r="D16" s="92"/>
      <c r="E16" s="93"/>
      <c r="F16" s="117" t="s">
        <v>175</v>
      </c>
      <c r="G16" s="117"/>
      <c r="H16" s="2"/>
    </row>
    <row r="17" spans="1:8" x14ac:dyDescent="0.25">
      <c r="A17" s="2"/>
      <c r="B17" s="100" t="s">
        <v>188</v>
      </c>
      <c r="C17" s="89"/>
      <c r="D17" s="89"/>
      <c r="E17" s="90"/>
      <c r="F17" s="27">
        <v>0</v>
      </c>
      <c r="G17" s="23" t="s">
        <v>4</v>
      </c>
      <c r="H17" s="2"/>
    </row>
    <row r="18" spans="1:8" x14ac:dyDescent="0.25">
      <c r="A18" s="2"/>
      <c r="B18" s="85" t="s">
        <v>176</v>
      </c>
      <c r="C18" s="86"/>
      <c r="D18" s="86"/>
      <c r="E18" s="87"/>
      <c r="F18" s="21">
        <f>SUM(F17:F17)</f>
        <v>0</v>
      </c>
      <c r="G18" s="22" t="s">
        <v>4</v>
      </c>
      <c r="H18" s="2"/>
    </row>
    <row r="19" spans="1:8" x14ac:dyDescent="0.25">
      <c r="A19" s="2"/>
      <c r="B19" s="85" t="s">
        <v>177</v>
      </c>
      <c r="C19" s="86"/>
      <c r="D19" s="86"/>
      <c r="E19" s="87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120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119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45" t="s">
        <v>121</v>
      </c>
      <c r="C9" s="46"/>
      <c r="D9" s="117" t="s">
        <v>47</v>
      </c>
      <c r="E9" s="117"/>
      <c r="F9" s="117" t="s">
        <v>129</v>
      </c>
      <c r="G9" s="117"/>
      <c r="H9" s="2"/>
    </row>
    <row r="10" spans="1:8" x14ac:dyDescent="0.25">
      <c r="A10" s="2"/>
      <c r="B10" s="35" t="s">
        <v>187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130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147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94" t="s">
        <v>60</v>
      </c>
      <c r="C9" s="95"/>
      <c r="D9" s="96"/>
      <c r="E9" s="8">
        <f>'Fane 3. Korrigeret grundlag'!G12</f>
        <v>44857507.823662452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89"/>
      <c r="D10" s="90"/>
      <c r="E10" s="12">
        <f>'Fane 3. Korrigeret grundlag'!G11</f>
        <v>9347885.0367068406</v>
      </c>
      <c r="F10" s="9" t="s">
        <v>4</v>
      </c>
      <c r="G10" s="13"/>
      <c r="H10" s="14"/>
      <c r="I10" s="2"/>
    </row>
    <row r="11" spans="1:9" x14ac:dyDescent="0.25">
      <c r="A11" s="2"/>
      <c r="B11" s="88" t="s">
        <v>123</v>
      </c>
      <c r="C11" s="89"/>
      <c r="D11" s="90"/>
      <c r="E11" s="12">
        <f>'Fane 4. Ikke-påvirkelige omk.'!G20</f>
        <v>-251644.85193649866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190</v>
      </c>
      <c r="C12" s="49"/>
      <c r="D12" s="50"/>
      <c r="E12" s="12">
        <f>'Fane 5. Individuelt eff.krav'!G10</f>
        <v>-419679.55326137075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170</v>
      </c>
      <c r="C13" s="97"/>
      <c r="D13" s="98"/>
      <c r="E13" s="12">
        <f>'Fane 3. Korrigeret grundlag'!G22</f>
        <v>1197481</v>
      </c>
      <c r="F13" s="9" t="s">
        <v>4</v>
      </c>
      <c r="G13" s="13"/>
      <c r="H13" s="14"/>
      <c r="I13" s="2"/>
    </row>
    <row r="14" spans="1:9" x14ac:dyDescent="0.25">
      <c r="A14" s="2"/>
      <c r="B14" s="94" t="s">
        <v>131</v>
      </c>
      <c r="C14" s="95"/>
      <c r="D14" s="96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4" t="s">
        <v>132</v>
      </c>
      <c r="C15" s="95"/>
      <c r="D15" s="96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94" t="s">
        <v>174</v>
      </c>
      <c r="C16" s="95"/>
      <c r="D16" s="96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94" t="s">
        <v>133</v>
      </c>
      <c r="C17" s="95"/>
      <c r="D17" s="96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94" t="s">
        <v>134</v>
      </c>
      <c r="C18" s="95"/>
      <c r="D18" s="96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126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88" t="s">
        <v>125</v>
      </c>
      <c r="C20" s="89"/>
      <c r="D20" s="90"/>
      <c r="E20" s="12">
        <f>SUM(E9,E11:E18)*(E19/100)</f>
        <v>794214.12732313038</v>
      </c>
      <c r="F20" s="9" t="s">
        <v>4</v>
      </c>
      <c r="G20" s="13"/>
      <c r="H20" s="14"/>
      <c r="I20" s="2"/>
    </row>
    <row r="21" spans="1:9" x14ac:dyDescent="0.25">
      <c r="A21" s="2"/>
      <c r="B21" s="100" t="s">
        <v>15</v>
      </c>
      <c r="C21" s="89"/>
      <c r="D21" s="90"/>
      <c r="E21" s="12">
        <f>'Fane 5. Individuelt eff.krav'!G12</f>
        <v>0</v>
      </c>
      <c r="F21" s="9" t="s">
        <v>4</v>
      </c>
      <c r="G21" s="15"/>
      <c r="H21" s="14"/>
      <c r="I21" s="2"/>
    </row>
    <row r="22" spans="1:9" x14ac:dyDescent="0.25">
      <c r="A22" s="2"/>
      <c r="B22" s="100" t="s">
        <v>16</v>
      </c>
      <c r="C22" s="89"/>
      <c r="D22" s="90"/>
      <c r="E22" s="12">
        <f>'Fane 6. Generelt eff.krav'!G17</f>
        <v>672414.20134940383</v>
      </c>
      <c r="F22" s="9" t="s">
        <v>4</v>
      </c>
      <c r="G22" s="16"/>
      <c r="H22" s="17"/>
      <c r="I22" s="2"/>
    </row>
    <row r="23" spans="1:9" x14ac:dyDescent="0.25">
      <c r="A23" s="2"/>
      <c r="B23" s="101" t="s">
        <v>180</v>
      </c>
      <c r="C23" s="102"/>
      <c r="D23" s="103"/>
      <c r="E23" s="18">
        <f>SUM(E9,E11:E18,E20)-SUM(E21:E22)</f>
        <v>45505464.344438307</v>
      </c>
      <c r="F23" s="19" t="s">
        <v>4</v>
      </c>
      <c r="G23" s="18">
        <f>E23</f>
        <v>45505464.344438307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91" t="s">
        <v>55</v>
      </c>
      <c r="C25" s="92"/>
      <c r="D25" s="93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85" t="s">
        <v>100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94" t="s">
        <v>107</v>
      </c>
      <c r="C27" s="95"/>
      <c r="D27" s="96"/>
      <c r="E27" s="12">
        <f>'Fane 9. Korrektion af PL2016'!G11</f>
        <v>811545.6400000006</v>
      </c>
      <c r="F27" s="9" t="s">
        <v>4</v>
      </c>
      <c r="G27" s="20"/>
      <c r="H27" s="11"/>
      <c r="I27" s="2"/>
    </row>
    <row r="28" spans="1:9" x14ac:dyDescent="0.25">
      <c r="A28" s="2"/>
      <c r="B28" s="94" t="s">
        <v>101</v>
      </c>
      <c r="C28" s="95"/>
      <c r="D28" s="96"/>
      <c r="E28" s="12">
        <f>'Fane 9. Korrektion af PL2016'!G17</f>
        <v>5450167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94" t="s">
        <v>102</v>
      </c>
      <c r="C29" s="95"/>
      <c r="D29" s="96"/>
      <c r="E29" s="12">
        <f>'Fane 9. Korrektion af PL2016'!G23</f>
        <v>-45074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94" t="s">
        <v>103</v>
      </c>
      <c r="C30" s="95"/>
      <c r="D30" s="96"/>
      <c r="E30" s="12">
        <f>'Fane 9. Korrektion af PL2016'!G29</f>
        <v>-258447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94" t="s">
        <v>104</v>
      </c>
      <c r="C31" s="95"/>
      <c r="D31" s="96"/>
      <c r="E31" s="12">
        <f>'Fane 9. Korrektion af PL2016'!G35</f>
        <v>466771.73333333316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94" t="s">
        <v>78</v>
      </c>
      <c r="C32" s="95"/>
      <c r="D32" s="96"/>
      <c r="E32" s="12">
        <f>'Fane 9. Korrektion af PL2016'!G41</f>
        <v>139870.38272368</v>
      </c>
      <c r="F32" s="9" t="s">
        <v>4</v>
      </c>
      <c r="G32" s="16"/>
      <c r="H32" s="17"/>
      <c r="I32" s="2"/>
    </row>
    <row r="33" spans="1:9" x14ac:dyDescent="0.25">
      <c r="A33" s="2"/>
      <c r="B33" s="91" t="s">
        <v>105</v>
      </c>
      <c r="C33" s="92"/>
      <c r="D33" s="93"/>
      <c r="E33" s="18">
        <f>SUM(E27:E32)</f>
        <v>6564833.7560570138</v>
      </c>
      <c r="F33" s="19" t="s">
        <v>4</v>
      </c>
      <c r="G33" s="18">
        <f>E33</f>
        <v>6564833.7560570138</v>
      </c>
      <c r="H33" s="19" t="s">
        <v>4</v>
      </c>
      <c r="I33" s="2"/>
    </row>
    <row r="34" spans="1:9" x14ac:dyDescent="0.25">
      <c r="A34" s="2"/>
      <c r="B34" s="85" t="s">
        <v>18</v>
      </c>
      <c r="C34" s="86"/>
      <c r="D34" s="86"/>
      <c r="E34" s="86"/>
      <c r="F34" s="86"/>
      <c r="G34" s="86"/>
      <c r="H34" s="87"/>
      <c r="I34" s="2"/>
    </row>
    <row r="35" spans="1:9" x14ac:dyDescent="0.25">
      <c r="A35" s="2"/>
      <c r="B35" s="91" t="s">
        <v>106</v>
      </c>
      <c r="C35" s="92"/>
      <c r="D35" s="93"/>
      <c r="E35" s="18">
        <f>'Fane 10. Kontrol af PL2016'!G36</f>
        <v>6460130.5102578774</v>
      </c>
      <c r="F35" s="19" t="s">
        <v>4</v>
      </c>
      <c r="G35" s="18">
        <f>E35</f>
        <v>6460130.5102578774</v>
      </c>
      <c r="H35" s="19" t="s">
        <v>4</v>
      </c>
      <c r="I35" s="2"/>
    </row>
    <row r="36" spans="1:9" x14ac:dyDescent="0.25">
      <c r="A36" s="2"/>
      <c r="B36" s="85" t="s">
        <v>62</v>
      </c>
      <c r="C36" s="86"/>
      <c r="D36" s="86"/>
      <c r="E36" s="86"/>
      <c r="F36" s="87"/>
      <c r="G36" s="21">
        <f>G23+G25+G33+G35</f>
        <v>58530428.610753201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110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108</v>
      </c>
      <c r="C9" s="95"/>
      <c r="D9" s="96"/>
      <c r="E9" s="8">
        <f>'Fane 2.1. Økonomisk ramme 2018'!G23-'Fane 2.1. Økonomisk ramme 2018'!E13*(1+0.0175)*(1-0.02-'Fane 5. Individuelt eff.krav'!G11/100)</f>
        <v>44311396.165288307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97"/>
      <c r="D10" s="98"/>
      <c r="E10" s="12">
        <f>(SUM('Fane 2.1. Økonomisk ramme 2018'!E10:E11,'Fane 2.1. Økonomisk ramme 2018'!E16))*(1+'Fane 2.1. Økonomisk ramme 2018'!E19/100)</f>
        <v>9255424.3880038243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170</v>
      </c>
      <c r="C11" s="59"/>
      <c r="D11" s="60"/>
      <c r="E11" s="12">
        <v>1218437</v>
      </c>
      <c r="F11" s="9" t="s">
        <v>4</v>
      </c>
      <c r="G11" s="13"/>
      <c r="H11" s="14"/>
      <c r="I11" s="2"/>
    </row>
    <row r="12" spans="1:9" x14ac:dyDescent="0.25">
      <c r="A12" s="2"/>
      <c r="B12" s="100" t="s">
        <v>61</v>
      </c>
      <c r="C12" s="89"/>
      <c r="D12" s="90"/>
      <c r="E12" s="12">
        <f>($E$9+E11)*'Fane 2.1. Økonomisk ramme 2018'!E19/100</f>
        <v>796772.08039254532</v>
      </c>
      <c r="F12" s="9" t="s">
        <v>4</v>
      </c>
      <c r="G12" s="15"/>
      <c r="H12" s="14"/>
      <c r="I12" s="2"/>
    </row>
    <row r="13" spans="1:9" x14ac:dyDescent="0.25">
      <c r="A13" s="2"/>
      <c r="B13" s="100" t="s">
        <v>15</v>
      </c>
      <c r="C13" s="89"/>
      <c r="D13" s="90"/>
      <c r="E13" s="12">
        <f>($E$9+E11-$E$10)*(1+'Fane 2.1. Økonomisk ramme 2018'!E19/100)*'Fane 5. Individuelt eff.krav'!$G$11/100</f>
        <v>0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696482.28553816862</v>
      </c>
      <c r="F14" s="9" t="s">
        <v>4</v>
      </c>
      <c r="G14" s="16"/>
      <c r="H14" s="17"/>
      <c r="I14" s="2"/>
    </row>
    <row r="15" spans="1:9" x14ac:dyDescent="0.25">
      <c r="A15" s="2"/>
      <c r="B15" s="101" t="s">
        <v>180</v>
      </c>
      <c r="C15" s="102"/>
      <c r="D15" s="103"/>
      <c r="E15" s="18">
        <f>$E$9+$E$12-$E$13-$E$14+E11</f>
        <v>45630122.960142687</v>
      </c>
      <c r="F15" s="19" t="s">
        <v>4</v>
      </c>
      <c r="G15" s="18">
        <f>E15</f>
        <v>45630122.960142687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91" t="s">
        <v>55</v>
      </c>
      <c r="C17" s="92"/>
      <c r="D17" s="93"/>
      <c r="E17" s="18">
        <f>IF('Fane 7. Hist. over el. underdæk'!$G$12&gt;1,'Fane 7. Hist. over el. underdæk'!$G$13,0)</f>
        <v>0</v>
      </c>
      <c r="F17" s="19" t="s">
        <v>4</v>
      </c>
      <c r="G17" s="18">
        <f>E17</f>
        <v>0</v>
      </c>
      <c r="H17" s="19" t="s">
        <v>4</v>
      </c>
      <c r="I17" s="2"/>
    </row>
    <row r="18" spans="1:9" x14ac:dyDescent="0.25">
      <c r="A18" s="2"/>
      <c r="B18" s="85" t="s">
        <v>109</v>
      </c>
      <c r="C18" s="86"/>
      <c r="D18" s="86"/>
      <c r="E18" s="86"/>
      <c r="F18" s="87"/>
      <c r="G18" s="21">
        <f>G15+G17</f>
        <v>45630122.960142687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141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112</v>
      </c>
      <c r="C9" s="89"/>
      <c r="D9" s="89"/>
      <c r="E9" s="89"/>
      <c r="F9" s="90"/>
      <c r="G9" s="27">
        <v>7037823.326918927</v>
      </c>
      <c r="H9" s="23" t="s">
        <v>4</v>
      </c>
      <c r="I9" s="2"/>
    </row>
    <row r="10" spans="1:9" x14ac:dyDescent="0.25">
      <c r="A10" s="2"/>
      <c r="B10" s="100" t="s">
        <v>113</v>
      </c>
      <c r="C10" s="89"/>
      <c r="D10" s="89"/>
      <c r="E10" s="89"/>
      <c r="F10" s="90"/>
      <c r="G10" s="27">
        <v>28471799.460036684</v>
      </c>
      <c r="H10" s="23" t="s">
        <v>4</v>
      </c>
      <c r="I10" s="2"/>
    </row>
    <row r="11" spans="1:9" x14ac:dyDescent="0.25">
      <c r="A11" s="2"/>
      <c r="B11" s="100" t="s">
        <v>140</v>
      </c>
      <c r="C11" s="89"/>
      <c r="D11" s="89"/>
      <c r="E11" s="89"/>
      <c r="F11" s="90"/>
      <c r="G11" s="27">
        <v>9347885.0367068406</v>
      </c>
      <c r="H11" s="23" t="s">
        <v>4</v>
      </c>
      <c r="I11" s="2"/>
    </row>
    <row r="12" spans="1:9" ht="17.25" customHeight="1" x14ac:dyDescent="0.25">
      <c r="A12" s="2"/>
      <c r="B12" s="105" t="s">
        <v>145</v>
      </c>
      <c r="C12" s="106"/>
      <c r="D12" s="106"/>
      <c r="E12" s="106"/>
      <c r="F12" s="107"/>
      <c r="G12" s="21">
        <f>SUM(G9:G11)</f>
        <v>44857507.823662452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170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100" t="s">
        <v>171</v>
      </c>
      <c r="C20" s="89"/>
      <c r="D20" s="89"/>
      <c r="E20" s="89"/>
      <c r="F20" s="90"/>
      <c r="G20" s="27">
        <v>1197481</v>
      </c>
      <c r="H20" s="23" t="s">
        <v>4</v>
      </c>
      <c r="I20" s="2"/>
    </row>
    <row r="21" spans="1:9" x14ac:dyDescent="0.25">
      <c r="A21" s="2"/>
      <c r="B21" s="100" t="s">
        <v>172</v>
      </c>
      <c r="C21" s="89"/>
      <c r="D21" s="89"/>
      <c r="E21" s="89"/>
      <c r="F21" s="90"/>
      <c r="G21" s="27">
        <v>0</v>
      </c>
      <c r="H21" s="23" t="s">
        <v>4</v>
      </c>
      <c r="I21" s="2"/>
    </row>
    <row r="22" spans="1:9" x14ac:dyDescent="0.25">
      <c r="A22" s="2"/>
      <c r="B22" s="105" t="s">
        <v>173</v>
      </c>
      <c r="C22" s="106"/>
      <c r="D22" s="106"/>
      <c r="E22" s="106"/>
      <c r="F22" s="107"/>
      <c r="G22" s="21">
        <f>SUM(G20:G21)</f>
        <v>1197481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114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115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91" t="s">
        <v>117</v>
      </c>
      <c r="C9" s="92"/>
      <c r="D9" s="93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08" t="s">
        <v>161</v>
      </c>
      <c r="C10" s="109"/>
      <c r="D10" s="109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162</v>
      </c>
      <c r="C11" s="109"/>
      <c r="D11" s="109"/>
      <c r="E11" s="56">
        <v>0</v>
      </c>
      <c r="F11" s="23" t="s">
        <v>4</v>
      </c>
      <c r="G11" s="27">
        <v>0</v>
      </c>
      <c r="H11" s="23" t="s">
        <v>4</v>
      </c>
      <c r="I11" s="2"/>
    </row>
    <row r="12" spans="1:9" x14ac:dyDescent="0.25">
      <c r="A12" s="2"/>
      <c r="B12" s="108" t="s">
        <v>163</v>
      </c>
      <c r="C12" s="109"/>
      <c r="D12" s="109"/>
      <c r="E12" s="56">
        <v>0</v>
      </c>
      <c r="F12" s="23" t="s">
        <v>4</v>
      </c>
      <c r="G12" s="27">
        <v>1319940</v>
      </c>
      <c r="H12" s="23" t="s">
        <v>4</v>
      </c>
      <c r="I12" s="2"/>
    </row>
    <row r="13" spans="1:9" x14ac:dyDescent="0.25">
      <c r="A13" s="2"/>
      <c r="B13" s="108" t="s">
        <v>164</v>
      </c>
      <c r="C13" s="109"/>
      <c r="D13" s="109"/>
      <c r="E13" s="56">
        <v>32399.4126</v>
      </c>
      <c r="F13" s="23" t="s">
        <v>4</v>
      </c>
      <c r="G13" s="27">
        <v>43242</v>
      </c>
      <c r="H13" s="23" t="s">
        <v>4</v>
      </c>
      <c r="I13" s="2"/>
    </row>
    <row r="14" spans="1:9" x14ac:dyDescent="0.25">
      <c r="A14" s="2"/>
      <c r="B14" s="108" t="s">
        <v>165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166</v>
      </c>
      <c r="C15" s="109"/>
      <c r="D15" s="109"/>
      <c r="E15" s="56">
        <v>0</v>
      </c>
      <c r="F15" s="23" t="s">
        <v>4</v>
      </c>
      <c r="G15" s="27">
        <v>0</v>
      </c>
      <c r="H15" s="23" t="s">
        <v>4</v>
      </c>
      <c r="I15" s="2"/>
    </row>
    <row r="16" spans="1:9" x14ac:dyDescent="0.25">
      <c r="A16" s="2"/>
      <c r="B16" s="108" t="s">
        <v>167</v>
      </c>
      <c r="C16" s="109"/>
      <c r="D16" s="109"/>
      <c r="E16" s="56">
        <v>8940791.3951999992</v>
      </c>
      <c r="F16" s="23" t="s">
        <v>4</v>
      </c>
      <c r="G16" s="27">
        <v>7620157</v>
      </c>
      <c r="H16" s="23" t="s">
        <v>4</v>
      </c>
      <c r="I16" s="2"/>
    </row>
    <row r="17" spans="1:9" x14ac:dyDescent="0.25">
      <c r="A17" s="2"/>
      <c r="B17" s="108" t="s">
        <v>168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31.5" customHeight="1" x14ac:dyDescent="0.25">
      <c r="A18" s="2"/>
      <c r="B18" s="110" t="s">
        <v>169</v>
      </c>
      <c r="C18" s="110"/>
      <c r="D18" s="110"/>
      <c r="E18" s="56">
        <v>257465</v>
      </c>
      <c r="F18" s="23" t="s">
        <v>4</v>
      </c>
      <c r="G18" s="27">
        <v>0</v>
      </c>
      <c r="H18" s="23" t="s">
        <v>4</v>
      </c>
      <c r="I18" s="2"/>
    </row>
    <row r="19" spans="1:9" x14ac:dyDescent="0.25">
      <c r="A19" s="2"/>
      <c r="B19" s="85" t="s">
        <v>136</v>
      </c>
      <c r="C19" s="86"/>
      <c r="D19" s="86"/>
      <c r="E19" s="86"/>
      <c r="F19" s="87"/>
      <c r="G19" s="21">
        <f>SUM(G10:G18)-SUM(E10:E18)</f>
        <v>-247316.80779999867</v>
      </c>
      <c r="H19" s="22" t="s">
        <v>4</v>
      </c>
      <c r="I19" s="2"/>
    </row>
    <row r="20" spans="1:9" x14ac:dyDescent="0.25">
      <c r="A20" s="2"/>
      <c r="B20" s="85" t="s">
        <v>137</v>
      </c>
      <c r="C20" s="86"/>
      <c r="D20" s="86"/>
      <c r="E20" s="86"/>
      <c r="F20" s="87"/>
      <c r="G20" s="21">
        <f>G19*(1+'Fane 2.1. Økonomisk ramme 2018'!E19/100)</f>
        <v>-251644.85193649866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51</v>
      </c>
      <c r="C9" s="89"/>
      <c r="D9" s="89"/>
      <c r="E9" s="89"/>
      <c r="F9" s="90"/>
      <c r="G9" s="12">
        <f>'Fane 3. Korrigeret grundlag'!G12-'Fane 3. Korrigeret grundlag'!G11+SUM('Fane 2.1. Økonomisk ramme 2018'!E13:E15,'Fane 2.1. Økonomisk ramme 2018'!E17:E18)</f>
        <v>36707103.78695561</v>
      </c>
      <c r="H9" s="23" t="s">
        <v>4</v>
      </c>
      <c r="I9" s="2"/>
    </row>
    <row r="10" spans="1:9" x14ac:dyDescent="0.25">
      <c r="A10" s="2"/>
      <c r="B10" s="51" t="s">
        <v>190</v>
      </c>
      <c r="C10" s="49"/>
      <c r="D10" s="49"/>
      <c r="E10" s="49"/>
      <c r="F10" s="50"/>
      <c r="G10" s="12">
        <v>-419679.55326137075</v>
      </c>
      <c r="H10" s="23" t="s">
        <v>4</v>
      </c>
      <c r="I10" s="2"/>
    </row>
    <row r="11" spans="1:9" x14ac:dyDescent="0.25">
      <c r="A11" s="2"/>
      <c r="B11" s="100" t="s">
        <v>37</v>
      </c>
      <c r="C11" s="89"/>
      <c r="D11" s="89"/>
      <c r="E11" s="89"/>
      <c r="F11" s="90"/>
      <c r="G11" s="29">
        <v>0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72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11" t="s">
        <v>47</v>
      </c>
      <c r="C9" s="112"/>
      <c r="D9" s="112"/>
      <c r="E9" s="112"/>
      <c r="F9" s="113"/>
      <c r="G9" s="12">
        <f>'Fane 3. Korrigeret grundlag'!G9+(SUM('Fane 2.1. Økonomisk ramme 2018'!E13,'Fane 2.1. Økonomisk ramme 2018'!E14,'Fane 2.1. Økonomisk ramme 2018'!E17))</f>
        <v>8235304.326918927</v>
      </c>
      <c r="H9" s="23" t="s">
        <v>4</v>
      </c>
      <c r="I9" s="2"/>
    </row>
    <row r="10" spans="1:9" x14ac:dyDescent="0.25">
      <c r="A10" s="2"/>
      <c r="B10" s="52" t="s">
        <v>189</v>
      </c>
      <c r="C10" s="53"/>
      <c r="D10" s="53"/>
      <c r="E10" s="53"/>
      <c r="F10" s="54"/>
      <c r="G10" s="12">
        <v>-164900.41424766</v>
      </c>
      <c r="H10" s="23" t="s">
        <v>4</v>
      </c>
      <c r="I10" s="2"/>
    </row>
    <row r="11" spans="1:9" x14ac:dyDescent="0.25">
      <c r="A11" s="2"/>
      <c r="B11" s="100" t="s">
        <v>16</v>
      </c>
      <c r="C11" s="89"/>
      <c r="D11" s="89"/>
      <c r="E11" s="89"/>
      <c r="F11" s="90"/>
      <c r="G11" s="37">
        <f>2</f>
        <v>2</v>
      </c>
      <c r="H11" s="23" t="s">
        <v>38</v>
      </c>
      <c r="I11" s="2"/>
    </row>
    <row r="12" spans="1:9" x14ac:dyDescent="0.25">
      <c r="A12" s="2"/>
      <c r="B12" s="101" t="s">
        <v>39</v>
      </c>
      <c r="C12" s="102"/>
      <c r="D12" s="102"/>
      <c r="E12" s="102"/>
      <c r="F12" s="103"/>
      <c r="G12" s="18">
        <f>($G$9+$G$10)*(1+'Fane 2.1. Økonomisk ramme 2018'!E19/100)*$G$11/100</f>
        <v>164232.71962286028</v>
      </c>
      <c r="H12" s="38" t="s">
        <v>4</v>
      </c>
      <c r="I12" s="2"/>
    </row>
    <row r="13" spans="1:9" x14ac:dyDescent="0.25">
      <c r="A13" s="2"/>
      <c r="B13" s="100" t="s">
        <v>48</v>
      </c>
      <c r="C13" s="89"/>
      <c r="D13" s="89"/>
      <c r="E13" s="89"/>
      <c r="F13" s="90"/>
      <c r="G13" s="12">
        <f>'Fane 3. Korrigeret grundlag'!G10+SUM('Fane 2.1. Økonomisk ramme 2018'!E15,'Fane 2.1. Økonomisk ramme 2018'!E18)</f>
        <v>28471799.460036684</v>
      </c>
      <c r="H13" s="23" t="s">
        <v>4</v>
      </c>
      <c r="I13" s="2"/>
    </row>
    <row r="14" spans="1:9" x14ac:dyDescent="0.25">
      <c r="A14" s="2"/>
      <c r="B14" s="51" t="s">
        <v>191</v>
      </c>
      <c r="C14" s="49"/>
      <c r="D14" s="49"/>
      <c r="E14" s="49"/>
      <c r="F14" s="50"/>
      <c r="G14" s="12">
        <v>-254779.13901371078</v>
      </c>
      <c r="H14" s="23" t="s">
        <v>4</v>
      </c>
      <c r="I14" s="2"/>
    </row>
    <row r="15" spans="1:9" x14ac:dyDescent="0.25">
      <c r="A15" s="2"/>
      <c r="B15" s="100" t="s">
        <v>16</v>
      </c>
      <c r="C15" s="89"/>
      <c r="D15" s="89"/>
      <c r="E15" s="89"/>
      <c r="F15" s="90"/>
      <c r="G15" s="30">
        <v>1.77</v>
      </c>
      <c r="H15" s="23" t="s">
        <v>38</v>
      </c>
      <c r="I15" s="2"/>
    </row>
    <row r="16" spans="1:9" x14ac:dyDescent="0.25">
      <c r="A16" s="2"/>
      <c r="B16" s="101" t="s">
        <v>40</v>
      </c>
      <c r="C16" s="102"/>
      <c r="D16" s="102"/>
      <c r="E16" s="102"/>
      <c r="F16" s="103"/>
      <c r="G16" s="18">
        <f>($G$13+$G$14)*(1+'Fane 2.1. Økonomisk ramme 2018'!E19/100)*$G$15/100</f>
        <v>508181.48172654351</v>
      </c>
      <c r="H16" s="3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672414.20134940383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73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42</v>
      </c>
      <c r="C9" s="89"/>
      <c r="D9" s="89"/>
      <c r="E9" s="89"/>
      <c r="F9" s="90"/>
      <c r="G9" s="27">
        <v>1060437</v>
      </c>
      <c r="H9" s="23" t="s">
        <v>4</v>
      </c>
      <c r="I9" s="2"/>
    </row>
    <row r="10" spans="1:9" x14ac:dyDescent="0.25">
      <c r="A10" s="2"/>
      <c r="B10" s="100" t="s">
        <v>122</v>
      </c>
      <c r="C10" s="89"/>
      <c r="D10" s="89"/>
      <c r="E10" s="89"/>
      <c r="F10" s="90"/>
      <c r="G10" s="27">
        <v>1060437.3333333335</v>
      </c>
      <c r="H10" s="23" t="s">
        <v>4</v>
      </c>
      <c r="I10" s="2"/>
    </row>
    <row r="11" spans="1:9" x14ac:dyDescent="0.25">
      <c r="A11" s="2"/>
      <c r="B11" s="114" t="s">
        <v>45</v>
      </c>
      <c r="C11" s="115"/>
      <c r="D11" s="115"/>
      <c r="E11" s="115"/>
      <c r="F11" s="116"/>
      <c r="G11" s="57">
        <f>G9-G10</f>
        <v>-0.33333333348855376</v>
      </c>
      <c r="H11" s="39" t="s">
        <v>4</v>
      </c>
      <c r="I11" s="2"/>
    </row>
    <row r="12" spans="1:9" x14ac:dyDescent="0.25">
      <c r="A12" s="2"/>
      <c r="B12" s="100" t="s">
        <v>43</v>
      </c>
      <c r="C12" s="89"/>
      <c r="D12" s="89"/>
      <c r="E12" s="89"/>
      <c r="F12" s="90"/>
      <c r="G12" s="27">
        <v>0</v>
      </c>
      <c r="H12" s="23" t="s">
        <v>127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74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7" t="s">
        <v>3</v>
      </c>
      <c r="G9" s="117"/>
      <c r="H9" s="2"/>
    </row>
    <row r="10" spans="1:8" x14ac:dyDescent="0.25">
      <c r="A10" s="2"/>
      <c r="B10" s="47" t="s">
        <v>149</v>
      </c>
      <c r="C10" s="41">
        <v>2016</v>
      </c>
      <c r="D10" s="28">
        <v>20</v>
      </c>
      <c r="E10" s="27">
        <v>127663.02</v>
      </c>
      <c r="F10" s="12">
        <f>E10/D10</f>
        <v>6383.1509999999998</v>
      </c>
      <c r="G10" s="23" t="s">
        <v>4</v>
      </c>
      <c r="H10" s="2"/>
    </row>
    <row r="11" spans="1:8" x14ac:dyDescent="0.25">
      <c r="A11" s="2"/>
      <c r="B11" s="47" t="s">
        <v>150</v>
      </c>
      <c r="C11" s="41">
        <v>2016</v>
      </c>
      <c r="D11" s="28">
        <v>5</v>
      </c>
      <c r="E11" s="27">
        <v>47708.23</v>
      </c>
      <c r="F11" s="12">
        <f t="shared" ref="F11:F23" si="0">E11/D11</f>
        <v>9541.6460000000006</v>
      </c>
      <c r="G11" s="23" t="s">
        <v>4</v>
      </c>
      <c r="H11" s="2"/>
    </row>
    <row r="12" spans="1:8" x14ac:dyDescent="0.25">
      <c r="A12" s="2"/>
      <c r="B12" s="47" t="s">
        <v>151</v>
      </c>
      <c r="C12" s="41">
        <v>2016</v>
      </c>
      <c r="D12" s="28">
        <v>5</v>
      </c>
      <c r="E12" s="27">
        <v>26401.14</v>
      </c>
      <c r="F12" s="12">
        <f t="shared" si="0"/>
        <v>5280.2280000000001</v>
      </c>
      <c r="G12" s="23" t="s">
        <v>4</v>
      </c>
      <c r="H12" s="2"/>
    </row>
    <row r="13" spans="1:8" x14ac:dyDescent="0.25">
      <c r="A13" s="2"/>
      <c r="B13" s="47" t="s">
        <v>152</v>
      </c>
      <c r="C13" s="41">
        <v>2016</v>
      </c>
      <c r="D13" s="28">
        <v>5</v>
      </c>
      <c r="E13" s="27">
        <v>74841.789999999994</v>
      </c>
      <c r="F13" s="12">
        <f t="shared" si="0"/>
        <v>14968.357999999998</v>
      </c>
      <c r="G13" s="23" t="s">
        <v>4</v>
      </c>
      <c r="H13" s="2"/>
    </row>
    <row r="14" spans="1:8" ht="26.25" x14ac:dyDescent="0.25">
      <c r="A14" s="2"/>
      <c r="B14" s="47" t="s">
        <v>153</v>
      </c>
      <c r="C14" s="41">
        <v>2016</v>
      </c>
      <c r="D14" s="28">
        <v>50</v>
      </c>
      <c r="E14" s="27">
        <v>60676.74</v>
      </c>
      <c r="F14" s="12">
        <f t="shared" si="0"/>
        <v>1213.5347999999999</v>
      </c>
      <c r="G14" s="23" t="s">
        <v>4</v>
      </c>
      <c r="H14" s="2"/>
    </row>
    <row r="15" spans="1:8" x14ac:dyDescent="0.25">
      <c r="A15" s="2"/>
      <c r="B15" s="47" t="s">
        <v>154</v>
      </c>
      <c r="C15" s="41">
        <v>2016</v>
      </c>
      <c r="D15" s="28">
        <v>50</v>
      </c>
      <c r="E15" s="27">
        <v>5812121.8499999996</v>
      </c>
      <c r="F15" s="12">
        <f t="shared" si="0"/>
        <v>116242.43699999999</v>
      </c>
      <c r="G15" s="23" t="s">
        <v>4</v>
      </c>
      <c r="H15" s="2"/>
    </row>
    <row r="16" spans="1:8" ht="26.25" x14ac:dyDescent="0.25">
      <c r="A16" s="2"/>
      <c r="B16" s="47" t="s">
        <v>155</v>
      </c>
      <c r="C16" s="41">
        <v>2016</v>
      </c>
      <c r="D16" s="28">
        <v>50</v>
      </c>
      <c r="E16" s="27">
        <v>1139695.71</v>
      </c>
      <c r="F16" s="12">
        <f t="shared" si="0"/>
        <v>22793.914199999999</v>
      </c>
      <c r="G16" s="23" t="s">
        <v>4</v>
      </c>
      <c r="H16" s="2"/>
    </row>
    <row r="17" spans="1:8" ht="26.25" x14ac:dyDescent="0.25">
      <c r="A17" s="2"/>
      <c r="B17" s="47" t="s">
        <v>156</v>
      </c>
      <c r="C17" s="41">
        <v>2016</v>
      </c>
      <c r="D17" s="28">
        <v>20</v>
      </c>
      <c r="E17" s="27">
        <v>130671.5</v>
      </c>
      <c r="F17" s="12">
        <f t="shared" si="0"/>
        <v>6533.5749999999998</v>
      </c>
      <c r="G17" s="23" t="s">
        <v>4</v>
      </c>
      <c r="H17" s="2"/>
    </row>
    <row r="18" spans="1:8" x14ac:dyDescent="0.25">
      <c r="A18" s="2"/>
      <c r="B18" s="47" t="s">
        <v>157</v>
      </c>
      <c r="C18" s="41">
        <v>2016</v>
      </c>
      <c r="D18" s="28">
        <v>75</v>
      </c>
      <c r="E18" s="27">
        <v>271129.78000000003</v>
      </c>
      <c r="F18" s="12">
        <f t="shared" si="0"/>
        <v>3615.0637333333339</v>
      </c>
      <c r="G18" s="23" t="s">
        <v>4</v>
      </c>
      <c r="H18" s="2"/>
    </row>
    <row r="19" spans="1:8" x14ac:dyDescent="0.25">
      <c r="A19" s="2"/>
      <c r="B19" s="47" t="s">
        <v>154</v>
      </c>
      <c r="C19" s="41">
        <v>2016</v>
      </c>
      <c r="D19" s="28">
        <v>50</v>
      </c>
      <c r="E19" s="27">
        <v>30139908.300000001</v>
      </c>
      <c r="F19" s="12">
        <f t="shared" si="0"/>
        <v>602798.16599999997</v>
      </c>
      <c r="G19" s="23" t="s">
        <v>4</v>
      </c>
      <c r="H19" s="2"/>
    </row>
    <row r="20" spans="1:8" x14ac:dyDescent="0.25">
      <c r="A20" s="2"/>
      <c r="B20" s="47" t="s">
        <v>158</v>
      </c>
      <c r="C20" s="41">
        <v>2016</v>
      </c>
      <c r="D20" s="28">
        <v>50</v>
      </c>
      <c r="E20" s="27">
        <v>325015.03000000003</v>
      </c>
      <c r="F20" s="12">
        <f t="shared" si="0"/>
        <v>6500.3006000000005</v>
      </c>
      <c r="G20" s="23" t="s">
        <v>4</v>
      </c>
      <c r="H20" s="2"/>
    </row>
    <row r="21" spans="1:8" ht="26.25" x14ac:dyDescent="0.25">
      <c r="A21" s="2"/>
      <c r="B21" s="47" t="s">
        <v>159</v>
      </c>
      <c r="C21" s="41">
        <v>2016</v>
      </c>
      <c r="D21" s="28">
        <v>10</v>
      </c>
      <c r="E21" s="27">
        <v>269279.76</v>
      </c>
      <c r="F21" s="12">
        <f t="shared" si="0"/>
        <v>26927.976000000002</v>
      </c>
      <c r="G21" s="23" t="s">
        <v>4</v>
      </c>
      <c r="H21" s="2"/>
    </row>
    <row r="22" spans="1:8" x14ac:dyDescent="0.25">
      <c r="A22" s="2"/>
      <c r="B22" s="47" t="s">
        <v>149</v>
      </c>
      <c r="C22" s="41">
        <v>2016</v>
      </c>
      <c r="D22" s="28">
        <v>20</v>
      </c>
      <c r="E22" s="27">
        <v>67674</v>
      </c>
      <c r="F22" s="12">
        <f t="shared" si="0"/>
        <v>3383.7</v>
      </c>
      <c r="G22" s="23" t="s">
        <v>4</v>
      </c>
      <c r="H22" s="2"/>
    </row>
    <row r="23" spans="1:8" x14ac:dyDescent="0.25">
      <c r="A23" s="2"/>
      <c r="B23" s="47" t="s">
        <v>160</v>
      </c>
      <c r="C23" s="41">
        <v>2016</v>
      </c>
      <c r="D23" s="28">
        <v>10</v>
      </c>
      <c r="E23" s="27">
        <v>23484.43</v>
      </c>
      <c r="F23" s="12">
        <f t="shared" si="0"/>
        <v>2348.4430000000002</v>
      </c>
      <c r="G23" s="23" t="s">
        <v>4</v>
      </c>
      <c r="H23" s="2"/>
    </row>
    <row r="24" spans="1:8" x14ac:dyDescent="0.25">
      <c r="A24" s="2"/>
      <c r="B24" s="85" t="s">
        <v>76</v>
      </c>
      <c r="C24" s="86"/>
      <c r="D24" s="86"/>
      <c r="E24" s="87"/>
      <c r="F24" s="21">
        <f>SUM(F10:F23)</f>
        <v>828530.49333333317</v>
      </c>
      <c r="G24" s="22" t="s">
        <v>4</v>
      </c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</sheetData>
  <sheetProtection password="DFE9" sheet="1" objects="1" scenarios="1"/>
  <mergeCells count="4">
    <mergeCell ref="B24:E2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2017-10-13T11:55:52Z</dcterms:modified>
</cp:coreProperties>
</file>