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K3" i="16" l="1"/>
  <c r="J3" i="16"/>
  <c r="I3" i="16"/>
  <c r="H3" i="16"/>
  <c r="G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I4" i="16" l="1"/>
  <c r="J4" i="16"/>
  <c r="K4" i="16"/>
  <c r="P3" i="16" l="1"/>
  <c r="O3" i="16"/>
  <c r="F3" i="17"/>
  <c r="G3" i="17"/>
  <c r="G4" i="16" l="1"/>
  <c r="H4" i="16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K5" i="16"/>
  <c r="I6" i="16"/>
  <c r="J6" i="16"/>
  <c r="K6" i="16"/>
  <c r="I5" i="16"/>
  <c r="N3" i="16" s="1"/>
  <c r="J5" i="16"/>
  <c r="G5" i="17"/>
  <c r="F4" i="17"/>
  <c r="E5" i="17"/>
  <c r="G4" i="17"/>
  <c r="E4" i="17"/>
  <c r="F5" i="17"/>
  <c r="G6" i="16"/>
  <c r="J3" i="24"/>
  <c r="H5" i="16"/>
  <c r="M3" i="16" s="1"/>
  <c r="H6" i="16"/>
  <c r="G5" i="16"/>
  <c r="M3" i="24" l="1"/>
  <c r="B9" i="12" s="1"/>
  <c r="B10" i="12" s="1"/>
  <c r="L3" i="16"/>
  <c r="H3" i="17"/>
  <c r="B4" i="12" s="1"/>
  <c r="I2" i="15"/>
  <c r="K2" i="15" s="1"/>
  <c r="B2" i="12" s="1"/>
  <c r="Q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<sst xmlns="http://schemas.openxmlformats.org/spreadsheetml/2006/main" count="125" uniqueCount="82">
  <si>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</si>
  <si>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</si>
  <si>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</si>
  <si>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</si>
  <si>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</si>
  <si>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</si>
  <si>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</si>
  <si>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</si>
  <si>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</si>
  <si>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</si>
  <si>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</si>
  <si>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</si>
  <si>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</si>
  <si>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</si>
  <si>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</si>
  <si>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</si>
  <si>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</si>
  <si>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</si>
  <si>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</si>
  <si>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</si>
  <si>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</si>
  <si>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</si>
  <si>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Vand- og Energiværksted</t>
  </si>
  <si>
    <t xml:space="preserve">Dokumenteret spildevandssikkerhed (DSS) </t>
  </si>
  <si>
    <t>Klima tiltag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</si>
  <si>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</si>
  <si>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</si>
  <si>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</si>
  <si>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</si>
  <si>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</si>
  <si>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</si>
  <si>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</si>
  <si>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</si>
  <si>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</si>
  <si>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</si>
  <si>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</si>
  <si>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</si>
  <si>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</si>
  <si>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</si>
  <si>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</si>
  <si>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</si>
  <si>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</si>
  <si>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</si>
  <si>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</si>
  <si>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</si>
  <si>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</si>
  <si>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</si>
  <si>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</si>
  <si>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</si>
  <si>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</si>
  <si>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</si>
  <si>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St vejleå (klimasikring</t>
  </si>
  <si>
    <t>Vallensbæk mose (Øget rensning)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</si>
  <si>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</si>
  <si>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</si>
  <si>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</si>
  <si>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</si>
  <si>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</si>
  <si>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</si>
  <si>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</si>
  <si>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</si>
  <si>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</si>
  <si>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</si>
  <si>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</si>
  <si>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</si>
  <si>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</si>
  <si>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</si>
  <si>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</si>
  <si>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</si>
  <si>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</si>
  <si>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</si>
  <si>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</si>
  <si>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</si>
  <si>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</si>
  <si>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</si>
  <si>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</si>
  <si>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</si>
  <si>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Nødpumpe station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</si>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</sst>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70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  <xf numFmtId="0" fontId="22" fillId="0" borderId="0" applyNumberFormat="0" applyBorder="0" applyAlignment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70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 6 3" xfId="27369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6409728.3575666659</v>
      </c>
      <c r="C2" t="s">
        <v>11</v>
      </c>
    </row>
    <row r="3" spans="1:3" s="2" customFormat="1" x14ac:dyDescent="0.25">
      <c r="A3" s="5" t="s">
        <v>8</v>
      </c>
      <c r="B3" s="36">
        <f>'Miljø- og servicemål'!Q3</f>
        <v>527906.76300373417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38437.822435999995</v>
      </c>
      <c r="C4" t="s">
        <v>11</v>
      </c>
    </row>
    <row r="5" spans="1:3" s="26" customFormat="1" x14ac:dyDescent="0.25">
      <c r="A5" s="3" t="s">
        <v>12</v>
      </c>
      <c r="B5" s="48">
        <f>SUM(B2:B4)</f>
        <v>6976072.9430064</v>
      </c>
      <c r="C5" s="62" t="s">
        <v>11</v>
      </c>
    </row>
    <row r="6" spans="1:3" x14ac:dyDescent="0.25">
      <c r="A6" s="47" t="s">
        <v>0</v>
      </c>
      <c r="B6" s="38">
        <f>Investeringer!E3</f>
        <v>24700983.228874519</v>
      </c>
      <c r="C6" s="23" t="s">
        <v>11</v>
      </c>
    </row>
    <row r="7" spans="1:3" x14ac:dyDescent="0.25">
      <c r="A7" s="4" t="s">
        <v>1</v>
      </c>
      <c r="B7" s="35">
        <f>Investeringer!F3</f>
        <v>1456018.7644656356</v>
      </c>
      <c r="C7" t="s">
        <v>11</v>
      </c>
    </row>
    <row r="8" spans="1:3" x14ac:dyDescent="0.25">
      <c r="A8" s="4" t="s">
        <v>2</v>
      </c>
      <c r="B8" s="35">
        <f>Investeringer!G3</f>
        <v>831690.91882486758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1233292.8674666667</v>
      </c>
      <c r="C9" t="s">
        <v>11</v>
      </c>
    </row>
    <row r="10" spans="1:3" s="22" customFormat="1" x14ac:dyDescent="0.25">
      <c r="A10" s="3" t="s">
        <v>49</v>
      </c>
      <c r="B10" s="48">
        <f>SUM(B6:B9)</f>
        <v>28221985.779631689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9007419</v>
      </c>
      <c r="C11" t="s">
        <v>11</v>
      </c>
    </row>
    <row r="12" spans="1:3" s="22" customFormat="1" x14ac:dyDescent="0.25">
      <c r="A12" s="4" t="s">
        <v>53</v>
      </c>
      <c r="B12" s="35">
        <f>SUM(Medfinansiering!B:B)</f>
        <v>258447</v>
      </c>
      <c r="C12" s="22" t="s">
        <v>11</v>
      </c>
    </row>
    <row r="13" spans="1:3" s="22" customFormat="1" x14ac:dyDescent="0.25">
      <c r="A13" s="3" t="s">
        <v>74</v>
      </c>
      <c r="B13" s="48">
        <f>SUM(B11:B12)</f>
        <v>9265866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64</v>
      </c>
      <c r="B15" s="37">
        <f>SUM(B5,B10,B13)</f>
        <v>44463924.722638085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56</v>
      </c>
      <c r="B17" s="37">
        <f>B15*Pristalsregulering!C8*Pristalsregulering!C9</f>
        <v>44857507.823662445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65</v>
      </c>
      <c r="D1" s="59" t="s">
        <v>66</v>
      </c>
      <c r="E1" s="59" t="s">
        <v>57</v>
      </c>
      <c r="F1" s="52" t="s">
        <v>67</v>
      </c>
      <c r="G1" s="52" t="s">
        <v>75</v>
      </c>
      <c r="H1" s="52" t="s">
        <v>68</v>
      </c>
      <c r="I1" s="52" t="s">
        <v>50</v>
      </c>
      <c r="J1" s="11" t="s">
        <v>69</v>
      </c>
      <c r="K1" s="11" t="s">
        <v>70</v>
      </c>
    </row>
    <row r="2" spans="1:11" s="23" customFormat="1" ht="15.75" thickTop="1" x14ac:dyDescent="0.25">
      <c r="A2" s="28">
        <v>2015</v>
      </c>
      <c r="B2" s="49">
        <v>4476833</v>
      </c>
      <c r="C2" s="49">
        <v>0</v>
      </c>
      <c r="D2" s="49">
        <f>B2+C2</f>
        <v>4476833</v>
      </c>
      <c r="E2" s="50">
        <f>D2</f>
        <v>4476833</v>
      </c>
      <c r="F2" s="49">
        <v>10544374.438642256</v>
      </c>
      <c r="G2" s="49">
        <v>1505548.0172393455</v>
      </c>
      <c r="H2" s="49">
        <f>F2-G2</f>
        <v>9038826.4214029107</v>
      </c>
      <c r="I2" s="49">
        <f>AVERAGEIF(E2:E4,"&lt;&gt;0")</f>
        <v>6409728.3575666659</v>
      </c>
      <c r="J2" s="49">
        <v>3954976.2584562702</v>
      </c>
      <c r="K2" s="39">
        <f>IF(H2&gt;I2,IF(I2&gt;J2,I2,J2),H2)</f>
        <v>6409728.3575666659</v>
      </c>
    </row>
    <row r="3" spans="1:11" s="23" customFormat="1" x14ac:dyDescent="0.25">
      <c r="A3" s="28">
        <v>2014</v>
      </c>
      <c r="B3" s="49">
        <v>6495537</v>
      </c>
      <c r="C3" s="49"/>
      <c r="D3" s="49">
        <f t="shared" ref="D3:D4" si="0">B3+C3</f>
        <v>6495537</v>
      </c>
      <c r="E3" s="50">
        <f>D3*Pristalsregulering!C7</f>
        <v>6500733.4295999995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8123175</v>
      </c>
      <c r="C4" s="49"/>
      <c r="D4" s="49">
        <f t="shared" si="0"/>
        <v>8123175</v>
      </c>
      <c r="E4" s="50">
        <f>D4*Pristalsregulering!$C$6*Pristalsregulering!$C$7</f>
        <v>8251618.6430999981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6" width="30.7109375" style="22" customWidth="1"/>
    <col min="7" max="7" width="30.7109375" style="55" customWidth="1"/>
    <col min="8" max="8" width="30.7109375" customWidth="1"/>
    <col min="9" max="11" width="30.7109375" style="22" customWidth="1"/>
    <col min="12" max="12" width="30.7109375" style="55" customWidth="1"/>
    <col min="13" max="14" width="30.7109375" customWidth="1"/>
    <col min="15" max="16" width="30.7109375" style="22" customWidth="1"/>
    <col min="17" max="17" width="30.7109375" style="55" customWidth="1"/>
    <col min="18" max="18" width="9.140625" hidden="1" customWidth="1"/>
    <col min="19" max="26" width="0" hidden="1" customWidth="1"/>
    <col min="27" max="27" width="9.140625" hidden="1" customWidth="1"/>
    <col min="28" max="32" width="0" hidden="1" customWidth="1"/>
    <col min="33" max="33" width="9.140625" hidden="1" customWidth="1"/>
    <col min="34" max="41" width="0" hidden="1" customWidth="1"/>
    <col min="42" max="42" width="9.140625" hidden="1" customWidth="1"/>
    <col min="43" max="50" width="0" hidden="1" customWidth="1"/>
    <col min="51" max="51" width="9.140625" hidden="1" customWidth="1"/>
    <col min="52" max="59" width="0" hidden="1" customWidth="1"/>
    <col min="60" max="60" width="9.140625" hidden="1" customWidth="1"/>
    <col min="61" max="65" width="0" hidden="1" customWidth="1"/>
    <col min="66" max="66" width="9.140625" hidden="1" customWidth="1"/>
    <col min="67" max="74" width="0" hidden="1" customWidth="1"/>
    <col min="75" max="75" width="9.140625" hidden="1" customWidth="1"/>
    <col min="76" max="79" width="0" hidden="1" customWidth="1"/>
    <col min="80" max="80" width="9.140625" hidden="1" customWidth="1"/>
    <col min="81" max="88" width="0" hidden="1" customWidth="1"/>
    <col min="89" max="89" width="9.140625" hidden="1" customWidth="1"/>
    <col min="90" max="97" width="0" hidden="1" customWidth="1"/>
    <col min="98" max="98" width="9.140625" hidden="1" customWidth="1"/>
    <col min="99" max="103" width="0" hidden="1" customWidth="1"/>
    <col min="104" max="104" width="9.140625" hidden="1" customWidth="1"/>
    <col min="105" max="112" width="0" hidden="1" customWidth="1"/>
    <col min="113" max="113" width="9.140625" hidden="1" customWidth="1"/>
    <col min="114" max="119" width="0" hidden="1" customWidth="1"/>
    <col min="120" max="120" width="9.140625" hidden="1" customWidth="1"/>
    <col min="121" max="125" width="0" hidden="1" customWidth="1"/>
    <col min="126" max="126" width="9.140625" hidden="1" customWidth="1"/>
    <col min="127" max="134" width="0" hidden="1" customWidth="1"/>
    <col min="135" max="135" width="9.140625" hidden="1" customWidth="1"/>
    <col min="136" max="140" width="0" hidden="1" customWidth="1"/>
    <col min="141" max="141" width="9.140625" hidden="1" customWidth="1"/>
    <col min="142" max="149" width="0" hidden="1" customWidth="1"/>
    <col min="150" max="150" width="9.140625" hidden="1" customWidth="1"/>
    <col min="151" max="152" width="0" hidden="1" customWidth="1"/>
    <col min="153" max="153" width="9.140625" hidden="1" customWidth="1"/>
    <col min="154" max="158" width="0" hidden="1" customWidth="1"/>
    <col min="159" max="159" width="9.140625" hidden="1" customWidth="1"/>
    <col min="160" max="167" width="0" hidden="1" customWidth="1"/>
    <col min="168" max="168" width="9.140625" hidden="1" customWidth="1"/>
    <col min="169" max="173" width="0" hidden="1" customWidth="1"/>
    <col min="174" max="174" width="9.140625" hidden="1" customWidth="1"/>
    <col min="175" max="182" width="0" hidden="1" customWidth="1"/>
    <col min="183" max="183" width="9.140625" hidden="1" customWidth="1"/>
    <col min="184" max="187" width="0" hidden="1" customWidth="1"/>
    <col min="188" max="188" width="9.140625" hidden="1" customWidth="1"/>
    <col min="189" max="190" width="0" hidden="1" customWidth="1"/>
    <col min="191" max="191" width="9.140625" hidden="1" customWidth="1"/>
    <col min="192" max="196" width="0" hidden="1" customWidth="1"/>
    <col min="197" max="197" width="9.140625" hidden="1" customWidth="1"/>
    <col min="198" max="205" width="0" hidden="1" customWidth="1"/>
    <col min="206" max="206" width="9.140625" hidden="1" customWidth="1"/>
    <col min="207" max="211" width="0" hidden="1" customWidth="1"/>
    <col min="212" max="212" width="9.140625" hidden="1" customWidth="1"/>
    <col min="213" max="220" width="0" hidden="1" customWidth="1"/>
    <col min="221" max="221" width="9.140625" hidden="1" customWidth="1"/>
    <col min="222" max="227" width="0" hidden="1" customWidth="1"/>
    <col min="228" max="228" width="9.140625" hidden="1" customWidth="1"/>
    <col min="229" max="233" width="0" hidden="1" customWidth="1"/>
    <col min="234" max="234" width="9.140625" hidden="1" customWidth="1"/>
    <col min="235" max="242" width="0" hidden="1" customWidth="1"/>
    <col min="243" max="243" width="9.140625" hidden="1" customWidth="1"/>
    <col min="244" max="248" width="0" hidden="1" customWidth="1"/>
    <col min="249" max="249" width="9.140625" hidden="1" customWidth="1"/>
    <col min="250" max="257" width="0" hidden="1" customWidth="1"/>
    <col min="258" max="258" width="9.140625" hidden="1" customWidth="1"/>
    <col min="259" max="260" width="0" hidden="1" customWidth="1"/>
    <col min="261" max="261" width="9.140625" hidden="1" customWidth="1"/>
    <col min="262" max="266" width="0" hidden="1" customWidth="1"/>
    <col min="267" max="267" width="9.140625" hidden="1" customWidth="1"/>
    <col min="268" max="275" width="0" hidden="1" customWidth="1"/>
    <col min="276" max="276" width="9.140625" hidden="1" customWidth="1"/>
    <col min="277" max="281" width="0" hidden="1" customWidth="1"/>
    <col min="282" max="282" width="9.140625" hidden="1" customWidth="1"/>
    <col min="283" max="290" width="0" hidden="1" customWidth="1"/>
    <col min="291" max="291" width="9.140625" hidden="1" customWidth="1"/>
    <col min="292" max="295" width="0" hidden="1" customWidth="1"/>
    <col min="296" max="296" width="9.140625" hidden="1" customWidth="1"/>
    <col min="297" max="298" width="0" hidden="1" customWidth="1"/>
    <col min="299" max="299" width="9.140625" hidden="1" customWidth="1"/>
    <col min="300" max="304" width="0" hidden="1" customWidth="1"/>
    <col min="305" max="305" width="9.140625" hidden="1" customWidth="1"/>
    <col min="306" max="313" width="0" hidden="1" customWidth="1"/>
    <col min="314" max="314" width="9.140625" hidden="1" customWidth="1"/>
    <col min="315" max="319" width="0" hidden="1" customWidth="1"/>
    <col min="320" max="320" width="9.140625" hidden="1" customWidth="1"/>
    <col min="321" max="328" width="0" hidden="1" customWidth="1"/>
    <col min="329" max="329" width="9.140625" hidden="1" customWidth="1"/>
    <col min="330" max="332" width="0" hidden="1" customWidth="1"/>
    <col min="333" max="333" width="9.140625" hidden="1" customWidth="1"/>
    <col min="334" max="341" width="0" hidden="1" customWidth="1"/>
    <col min="342" max="16384" width="9.140625" hidden="1"/>
  </cols>
  <sheetData>
    <row r="1" spans="1:17" s="27" customFormat="1" ht="15.75" thickBot="1" x14ac:dyDescent="0.3">
      <c r="A1" s="9"/>
      <c r="B1" s="33" t="s">
        <v>78</v>
      </c>
      <c r="C1" s="33"/>
      <c r="D1" s="33"/>
      <c r="E1" s="33"/>
      <c r="F1" s="33"/>
      <c r="G1" s="65" t="s">
        <v>79</v>
      </c>
      <c r="H1" s="10"/>
      <c r="I1" s="10"/>
      <c r="J1" s="10"/>
      <c r="K1" s="10"/>
      <c r="L1" s="65" t="s">
        <v>80</v>
      </c>
      <c r="M1" s="10"/>
      <c r="N1" s="10"/>
      <c r="O1" s="10"/>
      <c r="P1" s="10"/>
      <c r="Q1" s="65"/>
    </row>
    <row r="2" spans="1:17" ht="30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34" t="s">
        <v>51</v>
      </c>
      <c r="F2" s="34" t="s">
        <v>52</v>
      </c>
      <c r="G2" s="56" t="s">
        <v>22</v>
      </c>
      <c r="H2" s="34" t="s">
        <v>23</v>
      </c>
      <c r="I2" s="34" t="s">
        <v>24</v>
      </c>
      <c r="J2" s="34" t="s">
        <v>51</v>
      </c>
      <c r="K2" s="34" t="s">
        <v>52</v>
      </c>
      <c r="L2" s="56" t="s">
        <v>22</v>
      </c>
      <c r="M2" s="34" t="s">
        <v>23</v>
      </c>
      <c r="N2" s="34" t="s">
        <v>24</v>
      </c>
      <c r="O2" s="34" t="s">
        <v>51</v>
      </c>
      <c r="P2" s="34" t="s">
        <v>52</v>
      </c>
      <c r="Q2" s="53" t="s">
        <v>25</v>
      </c>
    </row>
    <row r="3" spans="1:17" s="22" customFormat="1" x14ac:dyDescent="0.25">
      <c r="A3" s="28">
        <v>2016</v>
      </c>
      <c r="B3" s="74">
        <v>0</v>
      </c>
      <c r="C3" s="74">
        <v>0</v>
      </c>
      <c r="D3" s="74">
        <v>423744</v>
      </c>
      <c r="E3" s="74">
        <v>0</v>
      </c>
      <c r="F3" s="74">
        <v>0</v>
      </c>
      <c r="G3" s="45">
        <f>B3/Pristalsregulering!$C$8</f>
        <v>0</v>
      </c>
      <c r="H3" s="35">
        <f>C3/Pristalsregulering!$C$8</f>
        <v>0</v>
      </c>
      <c r="I3" s="35">
        <f>D3/Pristalsregulering!$C$8</f>
        <v>425360.36940373422</v>
      </c>
      <c r="J3" s="35">
        <f>E3/Pristalsregulering!$C$8</f>
        <v>0</v>
      </c>
      <c r="K3" s="35">
        <f>F3/Pristalsregulering!$C$8</f>
        <v>0</v>
      </c>
      <c r="L3" s="45">
        <f>IF(G4=0,0,AVERAGEIF(G4:G6,"&lt;&gt;0"))+G3</f>
        <v>78735.228399999993</v>
      </c>
      <c r="M3" s="38">
        <f>IF(H4=0,0,AVERAGEIF(H4:H6,"&lt;&gt;0"))+H3</f>
        <v>23811.165199999999</v>
      </c>
      <c r="N3" s="38">
        <f>IF(I4=0,0,AVERAGEIF(I4:I6,"&lt;&gt;0"))+I3</f>
        <v>425360.36940373422</v>
      </c>
      <c r="O3" s="38">
        <f>IF(J4=0,0,AVERAGEIF(J4:J6,"&lt;&gt;0"))+J3</f>
        <v>0</v>
      </c>
      <c r="P3" s="38">
        <f>IF(K4=0,0,AVERAGEIF(K4:K6,"&lt;&gt;0"))+K3</f>
        <v>0</v>
      </c>
      <c r="Q3" s="57">
        <f>SUM(L3:P3)</f>
        <v>527906.76300373417</v>
      </c>
    </row>
    <row r="4" spans="1:17" x14ac:dyDescent="0.25">
      <c r="A4" s="28">
        <v>2015</v>
      </c>
      <c r="B4" s="35">
        <v>91847</v>
      </c>
      <c r="C4" s="35">
        <v>17185</v>
      </c>
      <c r="D4" s="35"/>
      <c r="E4" s="35"/>
      <c r="F4" s="35"/>
      <c r="G4" s="45">
        <f t="shared" ref="G4:K4" si="0">B4</f>
        <v>91847</v>
      </c>
      <c r="H4" s="35">
        <f t="shared" si="0"/>
        <v>17185</v>
      </c>
      <c r="I4" s="35">
        <f t="shared" si="0"/>
        <v>0</v>
      </c>
      <c r="J4" s="35">
        <f t="shared" si="0"/>
        <v>0</v>
      </c>
      <c r="K4" s="35">
        <f t="shared" si="0"/>
        <v>0</v>
      </c>
      <c r="L4" s="45"/>
      <c r="M4" s="38"/>
      <c r="N4" s="38"/>
      <c r="O4" s="38"/>
      <c r="P4" s="38"/>
      <c r="Q4" s="54"/>
    </row>
    <row r="5" spans="1:17" x14ac:dyDescent="0.25">
      <c r="A5" s="28">
        <v>2014</v>
      </c>
      <c r="B5" s="35">
        <v>65571</v>
      </c>
      <c r="C5" s="35">
        <v>30413</v>
      </c>
      <c r="D5" s="35"/>
      <c r="E5" s="35"/>
      <c r="F5" s="35"/>
      <c r="G5" s="45">
        <f>B5*Pristalsregulering!$C$7</f>
        <v>65623.4568</v>
      </c>
      <c r="H5" s="35">
        <f>C5*Pristalsregulering!$C$7</f>
        <v>30437.330399999999</v>
      </c>
      <c r="I5" s="35">
        <f>D5*Pristalsregulering!$C$7</f>
        <v>0</v>
      </c>
      <c r="J5" s="35">
        <f>E5*Pristalsregulering!$C$7</f>
        <v>0</v>
      </c>
      <c r="K5" s="35">
        <f>F5*Pristalsregulering!$C$7</f>
        <v>0</v>
      </c>
      <c r="L5" s="45"/>
      <c r="M5" s="35"/>
      <c r="N5" s="38"/>
      <c r="O5" s="38"/>
      <c r="P5" s="38"/>
      <c r="Q5" s="45"/>
    </row>
    <row r="6" spans="1:17" x14ac:dyDescent="0.25">
      <c r="A6" s="28">
        <v>2013</v>
      </c>
      <c r="B6" s="35"/>
      <c r="C6" s="35"/>
      <c r="D6" s="35"/>
      <c r="E6" s="35"/>
      <c r="F6" s="35"/>
      <c r="G6" s="45">
        <f>B6*Pristalsregulering!$C$7*Pristalsregulering!$C$6</f>
        <v>0</v>
      </c>
      <c r="H6" s="35">
        <f>C6*Pristalsregulering!$C$7*Pristalsregulering!$C$6</f>
        <v>0</v>
      </c>
      <c r="I6" s="35">
        <f>D6*Pristalsregulering!$C$7*Pristalsregulering!$C$6</f>
        <v>0</v>
      </c>
      <c r="J6" s="35">
        <f>E6*Pristalsregulering!$C$7*Pristalsregulering!$C$6</f>
        <v>0</v>
      </c>
      <c r="K6" s="35">
        <f>F6*Pristalsregulering!$C$7*Pristalsregulering!$C$6</f>
        <v>0</v>
      </c>
      <c r="L6" s="45"/>
      <c r="M6" s="35"/>
      <c r="N6" s="38"/>
      <c r="O6" s="38"/>
      <c r="P6" s="38"/>
      <c r="Q6" s="45"/>
    </row>
    <row r="7" spans="1:17" hidden="1" x14ac:dyDescent="0.25"/>
    <row r="8" spans="1:17" hidden="1" x14ac:dyDescent="0.25"/>
    <row r="9" spans="1:17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26</v>
      </c>
      <c r="C1" s="76"/>
      <c r="D1" s="76"/>
      <c r="E1" s="77" t="s">
        <v>58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2294</v>
      </c>
      <c r="C3" s="42">
        <v>12211</v>
      </c>
      <c r="D3" s="42">
        <v>0</v>
      </c>
      <c r="E3" s="41">
        <f>B3</f>
        <v>2294</v>
      </c>
      <c r="F3" s="42">
        <f t="shared" ref="F3:G3" si="0">C3</f>
        <v>12211</v>
      </c>
      <c r="G3" s="43">
        <f t="shared" si="0"/>
        <v>0</v>
      </c>
      <c r="H3" s="44">
        <f>IF(E3=0,0,AVERAGEIF(E3:E5,"&lt;&gt;0"))+IF(F3=0,0,AVERAGEIF(F3:F5,"&lt;&gt;0"))+IF(G3=0,0,AVERAGEIF(G3:G5,"&lt;&gt;0"))</f>
        <v>38437.822435999995</v>
      </c>
    </row>
    <row r="4" spans="1:8" x14ac:dyDescent="0.25">
      <c r="A4" s="31">
        <v>2014</v>
      </c>
      <c r="B4" s="41">
        <v>11124</v>
      </c>
      <c r="C4" s="42">
        <v>39200</v>
      </c>
      <c r="D4" s="42">
        <v>0</v>
      </c>
      <c r="E4" s="41">
        <f>B4*Pristalsregulering!$C$7</f>
        <v>11132.8992</v>
      </c>
      <c r="F4" s="42">
        <f>C4*Pristalsregulering!$C$7</f>
        <v>39231.359999999993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12059</v>
      </c>
      <c r="C5" s="42">
        <v>37600</v>
      </c>
      <c r="D5" s="42">
        <v>0</v>
      </c>
      <c r="E5" s="41">
        <f>B5*Pristalsregulering!$C$7*Pristalsregulering!$C$6</f>
        <v>12249.676907999998</v>
      </c>
      <c r="F5" s="42">
        <f>C5*Pristalsregulering!$C$7*Pristalsregulering!$C$6</f>
        <v>38194.53119999999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8" t="s">
        <v>72</v>
      </c>
      <c r="C1" s="78"/>
      <c r="D1" s="79"/>
      <c r="E1" s="80" t="s">
        <v>73</v>
      </c>
      <c r="F1" s="80"/>
      <c r="G1" s="80"/>
    </row>
    <row r="2" spans="1:7" s="22" customFormat="1" ht="15.75" thickTop="1" x14ac:dyDescent="0.25">
      <c r="A2" s="71" t="s">
        <v>13</v>
      </c>
      <c r="B2" s="23" t="s">
        <v>71</v>
      </c>
      <c r="C2" s="23" t="s">
        <v>1</v>
      </c>
      <c r="D2" s="28" t="s">
        <v>81</v>
      </c>
      <c r="E2" s="22" t="s">
        <v>0</v>
      </c>
      <c r="F2" s="22" t="s">
        <v>1</v>
      </c>
      <c r="G2" s="22" t="s">
        <v>81</v>
      </c>
    </row>
    <row r="3" spans="1:7" s="22" customFormat="1" x14ac:dyDescent="0.25">
      <c r="A3" s="72">
        <v>2015</v>
      </c>
      <c r="B3" s="38">
        <v>22688533.764940009</v>
      </c>
      <c r="C3" s="38">
        <v>1425041.8664333334</v>
      </c>
      <c r="D3" s="40">
        <v>828530.49333333306</v>
      </c>
      <c r="E3" s="35">
        <f>B3*Pristalsregulering!C2*Pristalsregulering!C3*Pristalsregulering!C4*Pristalsregulering!C5*Pristalsregulering!C6*Pristalsregulering!C7</f>
        <v>24700983.228874519</v>
      </c>
      <c r="F3" s="35">
        <v>1456018.7644656356</v>
      </c>
      <c r="G3" s="35">
        <f xml:space="preserve"> D3/Pristalsregulering!$C$8</f>
        <v>831690.91882486758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42</v>
      </c>
      <c r="C1" s="76"/>
      <c r="D1" s="76"/>
      <c r="E1" s="76"/>
      <c r="F1" s="77" t="s">
        <v>59</v>
      </c>
      <c r="G1" s="78"/>
      <c r="H1" s="78"/>
      <c r="I1" s="78"/>
      <c r="J1" s="81" t="s">
        <v>31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76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1232681</v>
      </c>
      <c r="D3" s="38">
        <v>1082</v>
      </c>
      <c r="E3" s="40">
        <v>0</v>
      </c>
      <c r="F3" s="38">
        <f>B3</f>
        <v>0</v>
      </c>
      <c r="G3" s="38">
        <f>C3</f>
        <v>1232681</v>
      </c>
      <c r="H3" s="38">
        <f>D3</f>
        <v>1082</v>
      </c>
      <c r="I3" s="40">
        <f>E3</f>
        <v>0</v>
      </c>
      <c r="J3" s="42">
        <f>AVERAGE(F3:F5)</f>
        <v>0</v>
      </c>
      <c r="K3" s="42">
        <f>G3</f>
        <v>1232681</v>
      </c>
      <c r="L3" s="43">
        <f>AVERAGE(H3:H5)+AVERAGE(I3:I5)</f>
        <v>611.8674666666667</v>
      </c>
      <c r="M3" s="44">
        <f>SUM(J3:L3)</f>
        <v>1233292.8674666667</v>
      </c>
      <c r="N3" s="23"/>
    </row>
    <row r="4" spans="1:14" x14ac:dyDescent="0.25">
      <c r="A4" s="28">
        <v>2014</v>
      </c>
      <c r="B4" s="45">
        <v>0</v>
      </c>
      <c r="C4" s="38">
        <v>1420229</v>
      </c>
      <c r="D4" s="38">
        <v>753</v>
      </c>
      <c r="E4" s="40">
        <v>0</v>
      </c>
      <c r="F4" s="38">
        <f>IF(B4="","",B4*Pristalsregulering!$C$7)</f>
        <v>0</v>
      </c>
      <c r="G4" s="38">
        <f>IF(C4="","",C4*Pristalsregulering!$C$7)</f>
        <v>1421365.1831999999</v>
      </c>
      <c r="H4" s="38">
        <f>IF(D4="","",D4*Pristalsregulering!$C$7)</f>
        <v>753.60239999999999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825361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838411.60813199985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32</v>
      </c>
      <c r="C1" s="68" t="s">
        <v>33</v>
      </c>
      <c r="D1" s="68" t="s">
        <v>34</v>
      </c>
      <c r="E1" s="68" t="s">
        <v>35</v>
      </c>
      <c r="F1" s="68" t="s">
        <v>36</v>
      </c>
      <c r="G1" s="68" t="s">
        <v>37</v>
      </c>
      <c r="H1" s="68" t="s">
        <v>38</v>
      </c>
      <c r="I1" s="68" t="s">
        <v>39</v>
      </c>
      <c r="J1" s="68" t="s">
        <v>40</v>
      </c>
      <c r="K1" s="68" t="s">
        <v>60</v>
      </c>
      <c r="L1" s="69" t="s">
        <v>41</v>
      </c>
      <c r="M1" s="14" t="s">
        <v>30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8974896</v>
      </c>
      <c r="F2" s="42">
        <v>0</v>
      </c>
      <c r="G2" s="42">
        <v>0</v>
      </c>
      <c r="H2" s="42">
        <v>0</v>
      </c>
      <c r="I2" s="42">
        <v>0</v>
      </c>
      <c r="J2" s="42"/>
      <c r="K2" s="42"/>
      <c r="L2" s="43">
        <v>0</v>
      </c>
      <c r="M2" s="44">
        <f>SUM(B2:L2)</f>
        <v>9007419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61</v>
      </c>
      <c r="B1" s="64" t="s">
        <v>62</v>
      </c>
    </row>
    <row r="2" spans="1:2" x14ac:dyDescent="0.25">
      <c r="A2" s="23" t="s">
        <v>77</v>
      </c>
      <c r="B2" s="35">
        <v>258447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63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54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55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2017-10-13T11:55:53Z</dcterms:modified>
</cp:coreProperties>
</file>