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15" i="13"/>
  <c r="F11" i="11"/>
  <c r="F21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22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<sst xmlns="http://schemas.openxmlformats.org/spreadsheetml/2006/main" count="375" uniqueCount="192">
  <si>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</si>
  <si>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</si>
  <si>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</si>
  <si>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</si>
  <si>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</si>
  <si>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</si>
  <si>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</si>
  <si>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</si>
  <si>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</si>
  <si>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</si>
  <si>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</si>
  <si>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</si>
  <si>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</si>
  <si>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</si>
  <si>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</si>
  <si>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</si>
  <si>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</si>
  <si>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</si>
  <si>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</si>
  <si>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</si>
  <si>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</si>
  <si>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</si>
  <si>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</si>
  <si>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</si>
  <si>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</si>
  <si>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</si>
  <si>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</si>
  <si>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</si>
  <si>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</si>
  <si>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</si>
  <si>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</si>
  <si>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</si>
  <si>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</si>
  <si>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</si>
  <si>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</si>
  <si>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</si>
  <si>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</si>
  <si>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</si>
  <si>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</si>
  <si>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</si>
  <si>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</si>
  <si>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</si>
  <si>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</si>
  <si>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</si>
  <si>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</si>
  <si>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</si>
  <si>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</si>
  <si>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</si>
  <si>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</si>
  <si>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</si>
  <si>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</si>
  <si>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</si>
  <si>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</si>
  <si>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</si>
  <si>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</si>
  <si>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</si>
  <si>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</si>
  <si>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</si>
  <si>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</si>
  <si>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</si>
  <si>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</si>
  <si>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</si>
  <si>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</si>
  <si>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</si>
  <si>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</si>
  <si>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</si>
  <si>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</si>
  <si>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</si>
  <si>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</si>
  <si>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</si>
  <si>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</si>
  <si>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</si>
  <si>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</si>
  <si>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</si>
  <si>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</si>
  <si>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</si>
  <si>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</si>
  <si>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</si>
  <si>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</si>
  <si>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</si>
  <si>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</si>
  <si>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</si>
  <si>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</si>
  <si>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</si>
  <si>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</si>
  <si>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</si>
  <si>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</si>
  <si>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</si>
  <si>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</si>
  <si>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</si>
  <si>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</si>
  <si>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</si>
  <si>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</si>
  <si>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</si>
  <si>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</si>
  <si>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</si>
  <si>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</si>
  <si>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</si>
  <si>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</si>
  <si>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</si>
  <si>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</si>
  <si>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</si>
  <si>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</si>
  <si>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</si>
  <si>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</si>
  <si>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</si>
  <si>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</si>
  <si>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</si>
  <si>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</si>
  <si>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</si>
  <si>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</si>
  <si>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</si>
  <si>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</si>
  <si>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</si>
  <si>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</si>
  <si>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</si>
  <si>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</si>
  <si>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</si>
  <si>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</si>
  <si>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</si>
  <si>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</si>
  <si>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</si>
  <si>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</si>
  <si>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</si>
  <si>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</si>
  <si>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</si>
  <si>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</si>
  <si>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</si>
  <si>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</si>
  <si>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</si>
  <si>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</si>
  <si>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</si>
  <si>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</si>
  <si>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</si>
  <si>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</si>
  <si>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</si>
  <si>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</si>
  <si>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</si>
  <si>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</si>
  <si>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</si>
  <si>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</si>
  <si>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</si>
  <si>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</si>
  <si>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</si>
  <si>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</si>
  <si>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</si>
  <si>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</si>
  <si>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</si>
  <si>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</si>
  <si>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Værksteder, garager</t>
  </si>
  <si>
    <t>Brønde</t>
  </si>
  <si>
    <t>SRO(Software)</t>
  </si>
  <si>
    <t>Software (Generalt)</t>
  </si>
  <si>
    <t>Strømpeforing Ø 200 mm &lt; Ledningsnet ≤ Ø 500 mm</t>
  </si>
  <si>
    <t>Forsinkelsesbassiner, lukkede med automatisk rensning og SRO Miljøklasse A (500-1.000 m3) - Konstruktioner</t>
  </si>
  <si>
    <t>Ø 200 mm &lt; Ledningsnet ≤ Ø 500 mm</t>
  </si>
  <si>
    <t>Pumpestationer i brønde (&lt; 6,25 m2), Mek/EL</t>
  </si>
  <si>
    <t>Stik</t>
  </si>
  <si>
    <t>Forsinkelsesbassiner, lukkede med automatisk rensning og SRO Miljøklasse A (500-1.000 m3) - SRO</t>
  </si>
  <si>
    <t>Kælder (&lt; 7 m2)</t>
  </si>
  <si>
    <t>Installationer "mekaniske riste og SRO" Miljøklasse A. (7-20 m2) - Mek/EL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</si>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</sst>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124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100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144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180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100" t="s">
        <v>80</v>
      </c>
      <c r="C9" s="89"/>
      <c r="D9" s="89"/>
      <c r="E9" s="89"/>
      <c r="F9" s="90"/>
      <c r="G9" s="27">
        <v>10274921</v>
      </c>
      <c r="H9" s="23" t="s">
        <v>4</v>
      </c>
      <c r="I9" s="2"/>
    </row>
    <row r="10" spans="1:9" x14ac:dyDescent="0.25">
      <c r="A10" s="2"/>
      <c r="B10" s="100" t="s">
        <v>81</v>
      </c>
      <c r="C10" s="89"/>
      <c r="D10" s="89"/>
      <c r="E10" s="89"/>
      <c r="F10" s="90"/>
      <c r="G10" s="27">
        <v>10720904</v>
      </c>
      <c r="H10" s="23" t="s">
        <v>4</v>
      </c>
      <c r="I10" s="2"/>
    </row>
    <row r="11" spans="1:9" x14ac:dyDescent="0.25">
      <c r="A11" s="2"/>
      <c r="B11" s="85" t="s">
        <v>181</v>
      </c>
      <c r="C11" s="86"/>
      <c r="D11" s="86"/>
      <c r="E11" s="86"/>
      <c r="F11" s="87"/>
      <c r="G11" s="21">
        <f>G9-G10</f>
        <v>-445983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182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100" t="s">
        <v>82</v>
      </c>
      <c r="C15" s="89"/>
      <c r="D15" s="89"/>
      <c r="E15" s="89"/>
      <c r="F15" s="90"/>
      <c r="G15" s="27">
        <v>1036325</v>
      </c>
      <c r="H15" s="23" t="s">
        <v>4</v>
      </c>
      <c r="I15" s="2"/>
    </row>
    <row r="16" spans="1:9" x14ac:dyDescent="0.25">
      <c r="A16" s="2"/>
      <c r="B16" s="100" t="s">
        <v>83</v>
      </c>
      <c r="C16" s="89"/>
      <c r="D16" s="89"/>
      <c r="E16" s="89"/>
      <c r="F16" s="90"/>
      <c r="G16" s="27">
        <v>1625421</v>
      </c>
      <c r="H16" s="23" t="s">
        <v>4</v>
      </c>
      <c r="I16" s="2"/>
    </row>
    <row r="17" spans="1:9" x14ac:dyDescent="0.25">
      <c r="A17" s="2"/>
      <c r="B17" s="85" t="s">
        <v>182</v>
      </c>
      <c r="C17" s="86"/>
      <c r="D17" s="86"/>
      <c r="E17" s="86"/>
      <c r="F17" s="87"/>
      <c r="G17" s="21">
        <f>G15-G16</f>
        <v>-589096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183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100" t="s">
        <v>84</v>
      </c>
      <c r="C21" s="89"/>
      <c r="D21" s="89"/>
      <c r="E21" s="89"/>
      <c r="F21" s="90"/>
      <c r="G21" s="27">
        <v>591222</v>
      </c>
      <c r="H21" s="23" t="s">
        <v>4</v>
      </c>
      <c r="I21" s="2"/>
    </row>
    <row r="22" spans="1:9" x14ac:dyDescent="0.25">
      <c r="A22" s="2"/>
      <c r="B22" s="100" t="s">
        <v>85</v>
      </c>
      <c r="C22" s="89"/>
      <c r="D22" s="89"/>
      <c r="E22" s="89"/>
      <c r="F22" s="90"/>
      <c r="G22" s="27">
        <v>285000</v>
      </c>
      <c r="H22" s="23" t="s">
        <v>4</v>
      </c>
      <c r="I22" s="2"/>
    </row>
    <row r="23" spans="1:9" x14ac:dyDescent="0.25">
      <c r="A23" s="2"/>
      <c r="B23" s="85" t="s">
        <v>183</v>
      </c>
      <c r="C23" s="86"/>
      <c r="D23" s="86"/>
      <c r="E23" s="86"/>
      <c r="F23" s="87"/>
      <c r="G23" s="21">
        <f>G21-G22</f>
        <v>306222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184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94" t="s">
        <v>86</v>
      </c>
      <c r="C27" s="95"/>
      <c r="D27" s="95"/>
      <c r="E27" s="95"/>
      <c r="F27" s="96"/>
      <c r="G27" s="27">
        <v>0</v>
      </c>
      <c r="H27" s="23" t="s">
        <v>4</v>
      </c>
      <c r="I27" s="2"/>
    </row>
    <row r="28" spans="1:9" x14ac:dyDescent="0.25">
      <c r="A28" s="2"/>
      <c r="B28" s="100" t="s">
        <v>87</v>
      </c>
      <c r="C28" s="89"/>
      <c r="D28" s="89"/>
      <c r="E28" s="89"/>
      <c r="F28" s="90"/>
      <c r="G28" s="27">
        <v>0</v>
      </c>
      <c r="H28" s="23" t="s">
        <v>4</v>
      </c>
      <c r="I28" s="2"/>
    </row>
    <row r="29" spans="1:9" ht="15" customHeight="1" x14ac:dyDescent="0.25">
      <c r="A29" s="2"/>
      <c r="B29" s="104" t="s">
        <v>184</v>
      </c>
      <c r="C29" s="105"/>
      <c r="D29" s="105"/>
      <c r="E29" s="105"/>
      <c r="F29" s="106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88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100" t="s">
        <v>89</v>
      </c>
      <c r="C33" s="89"/>
      <c r="D33" s="89"/>
      <c r="E33" s="89"/>
      <c r="F33" s="90"/>
      <c r="G33" s="12">
        <f>'Fane 8. Gen. inv. i 2016'!F22</f>
        <v>292530.64573333331</v>
      </c>
      <c r="H33" s="23" t="s">
        <v>4</v>
      </c>
      <c r="I33" s="2"/>
    </row>
    <row r="34" spans="1:9" x14ac:dyDescent="0.25">
      <c r="A34" s="2"/>
      <c r="B34" s="100" t="s">
        <v>90</v>
      </c>
      <c r="C34" s="89"/>
      <c r="D34" s="89"/>
      <c r="E34" s="89"/>
      <c r="F34" s="90"/>
      <c r="G34" s="27">
        <v>455715</v>
      </c>
      <c r="H34" s="23" t="s">
        <v>4</v>
      </c>
      <c r="I34" s="2"/>
    </row>
    <row r="35" spans="1:9" x14ac:dyDescent="0.25">
      <c r="A35" s="2"/>
      <c r="B35" s="85" t="s">
        <v>88</v>
      </c>
      <c r="C35" s="86"/>
      <c r="D35" s="86"/>
      <c r="E35" s="86"/>
      <c r="F35" s="87"/>
      <c r="G35" s="21">
        <f>G33-G34</f>
        <v>-163184.35426666669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5" t="s">
        <v>185</v>
      </c>
      <c r="C38" s="86"/>
      <c r="D38" s="86"/>
      <c r="E38" s="86"/>
      <c r="F38" s="86"/>
      <c r="G38" s="86"/>
      <c r="H38" s="87"/>
      <c r="I38" s="2"/>
    </row>
    <row r="39" spans="1:9" x14ac:dyDescent="0.25">
      <c r="A39" s="2"/>
      <c r="B39" s="100" t="s">
        <v>146</v>
      </c>
      <c r="C39" s="89"/>
      <c r="D39" s="89"/>
      <c r="E39" s="89"/>
      <c r="F39" s="90"/>
      <c r="G39" s="27">
        <v>3487628.75</v>
      </c>
      <c r="H39" s="23" t="s">
        <v>4</v>
      </c>
      <c r="I39" s="2"/>
    </row>
    <row r="40" spans="1:9" x14ac:dyDescent="0.25">
      <c r="A40" s="2"/>
      <c r="B40" s="100" t="s">
        <v>79</v>
      </c>
      <c r="C40" s="89"/>
      <c r="D40" s="89"/>
      <c r="E40" s="89"/>
      <c r="F40" s="90"/>
      <c r="G40" s="27">
        <v>258083.63006255997</v>
      </c>
      <c r="H40" s="23" t="s">
        <v>4</v>
      </c>
      <c r="I40" s="2"/>
    </row>
    <row r="41" spans="1:9" x14ac:dyDescent="0.25">
      <c r="A41" s="2"/>
      <c r="B41" s="85" t="s">
        <v>185</v>
      </c>
      <c r="C41" s="86"/>
      <c r="D41" s="86"/>
      <c r="E41" s="86"/>
      <c r="F41" s="87"/>
      <c r="G41" s="21">
        <f>G39-G40</f>
        <v>3229545.1199374399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91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92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1" t="s">
        <v>93</v>
      </c>
      <c r="C9" s="102"/>
      <c r="D9" s="102"/>
      <c r="E9" s="102"/>
      <c r="F9" s="103"/>
      <c r="G9" s="26">
        <v>38082137.143023916</v>
      </c>
      <c r="H9" s="38" t="s">
        <v>4</v>
      </c>
      <c r="I9" s="2"/>
    </row>
    <row r="10" spans="1:9" x14ac:dyDescent="0.25">
      <c r="A10" s="2"/>
      <c r="B10" s="85" t="s">
        <v>94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100" t="s">
        <v>19</v>
      </c>
      <c r="C11" s="89"/>
      <c r="D11" s="90"/>
      <c r="E11" s="27">
        <v>13469142</v>
      </c>
      <c r="F11" s="23" t="s">
        <v>4</v>
      </c>
      <c r="G11" s="20"/>
      <c r="H11" s="42"/>
      <c r="I11" s="2"/>
    </row>
    <row r="12" spans="1:9" x14ac:dyDescent="0.25">
      <c r="A12" s="2"/>
      <c r="B12" s="100" t="s">
        <v>95</v>
      </c>
      <c r="C12" s="89"/>
      <c r="D12" s="90"/>
      <c r="E12" s="27">
        <v>1974798.8412999995</v>
      </c>
      <c r="F12" s="23" t="s">
        <v>4</v>
      </c>
      <c r="G12" s="15"/>
      <c r="H12" s="43"/>
      <c r="I12" s="2"/>
    </row>
    <row r="13" spans="1:9" x14ac:dyDescent="0.25">
      <c r="A13" s="2"/>
      <c r="B13" s="100" t="s">
        <v>96</v>
      </c>
      <c r="C13" s="89"/>
      <c r="D13" s="90"/>
      <c r="E13" s="27">
        <v>-62142.881400000013</v>
      </c>
      <c r="F13" s="23" t="s">
        <v>4</v>
      </c>
      <c r="G13" s="15"/>
      <c r="H13" s="43"/>
      <c r="I13" s="2"/>
    </row>
    <row r="14" spans="1:9" x14ac:dyDescent="0.25">
      <c r="A14" s="2"/>
      <c r="B14" s="100" t="s">
        <v>97</v>
      </c>
      <c r="C14" s="89"/>
      <c r="D14" s="90"/>
      <c r="E14" s="27">
        <v>643751</v>
      </c>
      <c r="F14" s="23" t="s">
        <v>4</v>
      </c>
      <c r="G14" s="15"/>
      <c r="H14" s="43"/>
      <c r="I14" s="2"/>
    </row>
    <row r="15" spans="1:9" x14ac:dyDescent="0.25">
      <c r="A15" s="2"/>
      <c r="B15" s="101" t="s">
        <v>20</v>
      </c>
      <c r="C15" s="102"/>
      <c r="D15" s="103"/>
      <c r="E15" s="18">
        <f>SUM(E11:E14)</f>
        <v>16025548.959899999</v>
      </c>
      <c r="F15" s="38" t="s">
        <v>4</v>
      </c>
      <c r="G15" s="15"/>
      <c r="H15" s="43"/>
      <c r="I15" s="2"/>
    </row>
    <row r="16" spans="1:9" x14ac:dyDescent="0.25">
      <c r="A16" s="2"/>
      <c r="B16" s="100" t="s">
        <v>21</v>
      </c>
      <c r="C16" s="89"/>
      <c r="D16" s="90"/>
      <c r="E16" s="27">
        <v>123739</v>
      </c>
      <c r="F16" s="23" t="s">
        <v>4</v>
      </c>
      <c r="G16" s="15"/>
      <c r="H16" s="43"/>
      <c r="I16" s="2"/>
    </row>
    <row r="17" spans="1:9" x14ac:dyDescent="0.25">
      <c r="A17" s="2"/>
      <c r="B17" s="100" t="s">
        <v>22</v>
      </c>
      <c r="C17" s="89"/>
      <c r="D17" s="90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100" t="s">
        <v>23</v>
      </c>
      <c r="C18" s="89"/>
      <c r="D18" s="90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101" t="s">
        <v>24</v>
      </c>
      <c r="C19" s="102"/>
      <c r="D19" s="103"/>
      <c r="E19" s="18">
        <f>SUM(E16:E18)</f>
        <v>123739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4" t="s">
        <v>25</v>
      </c>
      <c r="C20" s="95"/>
      <c r="D20" s="96"/>
      <c r="E20" s="27">
        <v>-4884945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4" t="s">
        <v>26</v>
      </c>
      <c r="C21" s="95"/>
      <c r="D21" s="96"/>
      <c r="E21" s="27">
        <v>-11264343</v>
      </c>
      <c r="F21" s="23" t="s">
        <v>4</v>
      </c>
      <c r="G21" s="15"/>
      <c r="H21" s="43"/>
      <c r="I21" s="2"/>
    </row>
    <row r="22" spans="1:9" x14ac:dyDescent="0.25">
      <c r="A22" s="2"/>
      <c r="B22" s="100" t="s">
        <v>27</v>
      </c>
      <c r="C22" s="89"/>
      <c r="D22" s="90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100" t="s">
        <v>28</v>
      </c>
      <c r="C23" s="89"/>
      <c r="D23" s="90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4" t="s">
        <v>29</v>
      </c>
      <c r="C24" s="95"/>
      <c r="D24" s="96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4" t="s">
        <v>30</v>
      </c>
      <c r="C25" s="95"/>
      <c r="D25" s="96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4" t="s">
        <v>31</v>
      </c>
      <c r="C26" s="95"/>
      <c r="D26" s="96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101" t="s">
        <v>32</v>
      </c>
      <c r="C27" s="102"/>
      <c r="D27" s="103"/>
      <c r="E27" s="18">
        <f>SUM(E20:E26)</f>
        <v>-16149288</v>
      </c>
      <c r="F27" s="38" t="s">
        <v>4</v>
      </c>
      <c r="G27" s="16"/>
      <c r="H27" s="44"/>
      <c r="I27" s="2"/>
    </row>
    <row r="28" spans="1:9" x14ac:dyDescent="0.25">
      <c r="A28" s="2"/>
      <c r="B28" s="101" t="s">
        <v>33</v>
      </c>
      <c r="C28" s="102"/>
      <c r="D28" s="103"/>
      <c r="E28" s="18">
        <f>E15+E19+E27</f>
        <v>-4.010000079870224E-2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85" t="s">
        <v>98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101" t="s">
        <v>98</v>
      </c>
      <c r="C30" s="102"/>
      <c r="D30" s="103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7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94" t="s">
        <v>58</v>
      </c>
      <c r="C32" s="95"/>
      <c r="D32" s="96"/>
      <c r="E32" s="27">
        <v>39813232</v>
      </c>
      <c r="F32" s="23" t="s">
        <v>4</v>
      </c>
      <c r="G32" s="20"/>
      <c r="H32" s="42"/>
      <c r="I32" s="2"/>
    </row>
    <row r="33" spans="1:9" x14ac:dyDescent="0.25">
      <c r="A33" s="2"/>
      <c r="B33" s="100" t="s">
        <v>34</v>
      </c>
      <c r="C33" s="89"/>
      <c r="D33" s="90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4" t="s">
        <v>35</v>
      </c>
      <c r="C34" s="95"/>
      <c r="D34" s="96"/>
      <c r="E34" s="27">
        <v>561305</v>
      </c>
      <c r="F34" s="23" t="s">
        <v>4</v>
      </c>
      <c r="G34" s="16"/>
      <c r="H34" s="44"/>
      <c r="I34" s="2"/>
    </row>
    <row r="35" spans="1:9" x14ac:dyDescent="0.25">
      <c r="A35" s="2"/>
      <c r="B35" s="101" t="s">
        <v>36</v>
      </c>
      <c r="C35" s="102"/>
      <c r="D35" s="103"/>
      <c r="E35" s="18">
        <f>SUM(E32:E34)</f>
        <v>40374537</v>
      </c>
      <c r="F35" s="38" t="s">
        <v>4</v>
      </c>
      <c r="G35" s="18">
        <f>-E35</f>
        <v>-40374537</v>
      </c>
      <c r="H35" s="38" t="s">
        <v>4</v>
      </c>
      <c r="I35" s="2"/>
    </row>
    <row r="36" spans="1:9" x14ac:dyDescent="0.25">
      <c r="A36" s="2"/>
      <c r="B36" s="85" t="s">
        <v>99</v>
      </c>
      <c r="C36" s="86"/>
      <c r="D36" s="86"/>
      <c r="E36" s="86"/>
      <c r="F36" s="87"/>
      <c r="G36" s="21">
        <f>$G$9+$G$28+$G$30+$G$35</f>
        <v>-2292399.8569760844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128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177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91" t="s">
        <v>118</v>
      </c>
      <c r="C9" s="93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118" t="s">
        <v>178</v>
      </c>
      <c r="C10" s="119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135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148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173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91" t="s">
        <v>191</v>
      </c>
      <c r="C16" s="92"/>
      <c r="D16" s="92"/>
      <c r="E16" s="93"/>
      <c r="F16" s="116" t="s">
        <v>174</v>
      </c>
      <c r="G16" s="116"/>
      <c r="H16" s="2"/>
    </row>
    <row r="17" spans="1:8" x14ac:dyDescent="0.25">
      <c r="A17" s="2"/>
      <c r="B17" s="100" t="s">
        <v>187</v>
      </c>
      <c r="C17" s="89"/>
      <c r="D17" s="89"/>
      <c r="E17" s="90"/>
      <c r="F17" s="27">
        <v>0</v>
      </c>
      <c r="G17" s="23" t="s">
        <v>4</v>
      </c>
      <c r="H17" s="2"/>
    </row>
    <row r="18" spans="1:8" x14ac:dyDescent="0.25">
      <c r="A18" s="2"/>
      <c r="B18" s="85" t="s">
        <v>175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176</v>
      </c>
      <c r="C19" s="86"/>
      <c r="D19" s="86"/>
      <c r="E19" s="8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120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45" t="s">
        <v>121</v>
      </c>
      <c r="C9" s="46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35" t="s">
        <v>186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130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147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94" t="s">
        <v>60</v>
      </c>
      <c r="C9" s="95"/>
      <c r="D9" s="96"/>
      <c r="E9" s="8">
        <f>'Fane 3. Korrigeret grundlag'!G12</f>
        <v>38210630.532288507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89"/>
      <c r="D10" s="90"/>
      <c r="E10" s="12">
        <f>'Fane 3. Korrigeret grundlag'!G11</f>
        <v>11557063.532700138</v>
      </c>
      <c r="F10" s="9" t="s">
        <v>4</v>
      </c>
      <c r="G10" s="13"/>
      <c r="H10" s="14"/>
      <c r="I10" s="2"/>
    </row>
    <row r="11" spans="1:9" x14ac:dyDescent="0.25">
      <c r="A11" s="2"/>
      <c r="B11" s="88" t="s">
        <v>123</v>
      </c>
      <c r="C11" s="89"/>
      <c r="D11" s="90"/>
      <c r="E11" s="12">
        <f>'Fane 4. Ikke-påvirkelige omk.'!G19</f>
        <v>-1171932.5767434996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189</v>
      </c>
      <c r="C12" s="49"/>
      <c r="D12" s="50"/>
      <c r="E12" s="12">
        <f>'Fane 5. Individuelt eff.krav'!G10</f>
        <v>-733812.6738869641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169</v>
      </c>
      <c r="C13" s="97"/>
      <c r="D13" s="98"/>
      <c r="E13" s="12">
        <f>'Fane 3. Korrigeret grundlag'!G22</f>
        <v>129304</v>
      </c>
      <c r="F13" s="9" t="s">
        <v>4</v>
      </c>
      <c r="G13" s="13"/>
      <c r="H13" s="14"/>
      <c r="I13" s="2"/>
    </row>
    <row r="14" spans="1:9" x14ac:dyDescent="0.25">
      <c r="A14" s="2"/>
      <c r="B14" s="94" t="s">
        <v>131</v>
      </c>
      <c r="C14" s="95"/>
      <c r="D14" s="96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4" t="s">
        <v>132</v>
      </c>
      <c r="C15" s="95"/>
      <c r="D15" s="96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94" t="s">
        <v>173</v>
      </c>
      <c r="C16" s="95"/>
      <c r="D16" s="96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94" t="s">
        <v>133</v>
      </c>
      <c r="C17" s="95"/>
      <c r="D17" s="96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94" t="s">
        <v>134</v>
      </c>
      <c r="C18" s="95"/>
      <c r="D18" s="96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88" t="s">
        <v>125</v>
      </c>
      <c r="C20" s="89"/>
      <c r="D20" s="90"/>
      <c r="E20" s="12">
        <f>SUM(E9,E11:E18)*(E19/100)</f>
        <v>637598.31242901587</v>
      </c>
      <c r="F20" s="9" t="s">
        <v>4</v>
      </c>
      <c r="G20" s="13"/>
      <c r="H20" s="14"/>
      <c r="I20" s="2"/>
    </row>
    <row r="21" spans="1:9" x14ac:dyDescent="0.25">
      <c r="A21" s="2"/>
      <c r="B21" s="100" t="s">
        <v>15</v>
      </c>
      <c r="C21" s="89"/>
      <c r="D21" s="90"/>
      <c r="E21" s="12">
        <f>'Fane 5. Individuelt eff.krav'!G12</f>
        <v>308570.8767949192</v>
      </c>
      <c r="F21" s="9" t="s">
        <v>4</v>
      </c>
      <c r="G21" s="15"/>
      <c r="H21" s="14"/>
      <c r="I21" s="2"/>
    </row>
    <row r="22" spans="1:9" x14ac:dyDescent="0.25">
      <c r="A22" s="2"/>
      <c r="B22" s="100" t="s">
        <v>16</v>
      </c>
      <c r="C22" s="89"/>
      <c r="D22" s="90"/>
      <c r="E22" s="12">
        <f>'Fane 6. Generelt eff.krav'!G17</f>
        <v>493172.41487451899</v>
      </c>
      <c r="F22" s="9" t="s">
        <v>4</v>
      </c>
      <c r="G22" s="16"/>
      <c r="H22" s="17"/>
      <c r="I22" s="2"/>
    </row>
    <row r="23" spans="1:9" x14ac:dyDescent="0.25">
      <c r="A23" s="2"/>
      <c r="B23" s="101" t="s">
        <v>179</v>
      </c>
      <c r="C23" s="102"/>
      <c r="D23" s="103"/>
      <c r="E23" s="18">
        <f>SUM(E9,E11:E18,E20)-SUM(E21:E22)</f>
        <v>36270044.302417628</v>
      </c>
      <c r="F23" s="19" t="s">
        <v>4</v>
      </c>
      <c r="G23" s="18">
        <f>E23</f>
        <v>36270044.302417628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91" t="s">
        <v>55</v>
      </c>
      <c r="C25" s="92"/>
      <c r="D25" s="93"/>
      <c r="E25" s="18">
        <f>'Fane 7. Hist. over el. underdæk'!G13</f>
        <v>-3258500.792768959</v>
      </c>
      <c r="F25" s="19" t="s">
        <v>4</v>
      </c>
      <c r="G25" s="18">
        <f>E25</f>
        <v>-3258500.792768959</v>
      </c>
      <c r="H25" s="19" t="s">
        <v>4</v>
      </c>
      <c r="I25" s="2"/>
    </row>
    <row r="26" spans="1:9" x14ac:dyDescent="0.25">
      <c r="A26" s="2"/>
      <c r="B26" s="85" t="s">
        <v>100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94" t="s">
        <v>107</v>
      </c>
      <c r="C27" s="95"/>
      <c r="D27" s="96"/>
      <c r="E27" s="12">
        <f>'Fane 9. Korrektion af PL2016'!G11</f>
        <v>-445983</v>
      </c>
      <c r="F27" s="9" t="s">
        <v>4</v>
      </c>
      <c r="G27" s="20"/>
      <c r="H27" s="11"/>
      <c r="I27" s="2"/>
    </row>
    <row r="28" spans="1:9" x14ac:dyDescent="0.25">
      <c r="A28" s="2"/>
      <c r="B28" s="94" t="s">
        <v>101</v>
      </c>
      <c r="C28" s="95"/>
      <c r="D28" s="96"/>
      <c r="E28" s="12">
        <f>'Fane 9. Korrektion af PL2016'!G17</f>
        <v>-589096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94" t="s">
        <v>102</v>
      </c>
      <c r="C29" s="95"/>
      <c r="D29" s="96"/>
      <c r="E29" s="12">
        <f>'Fane 9. Korrektion af PL2016'!G23</f>
        <v>306222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94" t="s">
        <v>103</v>
      </c>
      <c r="C30" s="95"/>
      <c r="D30" s="96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94" t="s">
        <v>104</v>
      </c>
      <c r="C31" s="95"/>
      <c r="D31" s="96"/>
      <c r="E31" s="12">
        <f>'Fane 9. Korrektion af PL2016'!G35</f>
        <v>-163184.35426666669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94" t="s">
        <v>78</v>
      </c>
      <c r="C32" s="95"/>
      <c r="D32" s="96"/>
      <c r="E32" s="12">
        <f>'Fane 9. Korrektion af PL2016'!G41</f>
        <v>3229545.1199374399</v>
      </c>
      <c r="F32" s="9" t="s">
        <v>4</v>
      </c>
      <c r="G32" s="16"/>
      <c r="H32" s="17"/>
      <c r="I32" s="2"/>
    </row>
    <row r="33" spans="1:9" x14ac:dyDescent="0.25">
      <c r="A33" s="2"/>
      <c r="B33" s="91" t="s">
        <v>105</v>
      </c>
      <c r="C33" s="92"/>
      <c r="D33" s="93"/>
      <c r="E33" s="18">
        <f>SUM(E27:E32)</f>
        <v>2337503.7656707731</v>
      </c>
      <c r="F33" s="19" t="s">
        <v>4</v>
      </c>
      <c r="G33" s="18">
        <f>E33</f>
        <v>2337503.7656707731</v>
      </c>
      <c r="H33" s="19" t="s">
        <v>4</v>
      </c>
      <c r="I33" s="2"/>
    </row>
    <row r="34" spans="1:9" x14ac:dyDescent="0.25">
      <c r="A34" s="2"/>
      <c r="B34" s="85" t="s">
        <v>18</v>
      </c>
      <c r="C34" s="86"/>
      <c r="D34" s="86"/>
      <c r="E34" s="86"/>
      <c r="F34" s="86"/>
      <c r="G34" s="86"/>
      <c r="H34" s="87"/>
      <c r="I34" s="2"/>
    </row>
    <row r="35" spans="1:9" x14ac:dyDescent="0.25">
      <c r="A35" s="2"/>
      <c r="B35" s="91" t="s">
        <v>106</v>
      </c>
      <c r="C35" s="92"/>
      <c r="D35" s="93"/>
      <c r="E35" s="18">
        <f>'Fane 10. Kontrol af PL2016'!G36</f>
        <v>-2292399.8569760844</v>
      </c>
      <c r="F35" s="19" t="s">
        <v>4</v>
      </c>
      <c r="G35" s="18">
        <f>E35</f>
        <v>-2292399.8569760844</v>
      </c>
      <c r="H35" s="19" t="s">
        <v>4</v>
      </c>
      <c r="I35" s="2"/>
    </row>
    <row r="36" spans="1:9" x14ac:dyDescent="0.25">
      <c r="A36" s="2"/>
      <c r="B36" s="85" t="s">
        <v>62</v>
      </c>
      <c r="C36" s="86"/>
      <c r="D36" s="86"/>
      <c r="E36" s="86"/>
      <c r="F36" s="87"/>
      <c r="G36" s="21">
        <f>G23+G25+G33+G35</f>
        <v>33056647.418343358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110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108</v>
      </c>
      <c r="C9" s="95"/>
      <c r="D9" s="96"/>
      <c r="E9" s="8">
        <f>'Fane 2.1. Økonomisk ramme 2018'!G23-'Fane 2.1. Økonomisk ramme 2018'!E13*(1+0.0175)*(1-0.02-'Fane 5. Individuelt eff.krav'!G11/100)</f>
        <v>36142640.522887476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97"/>
      <c r="D10" s="98"/>
      <c r="E10" s="12">
        <f>(SUM('Fane 2.1. Økonomisk ramme 2018'!E10:E11,'Fane 2.1. Økonomisk ramme 2018'!E16))*(1+'Fane 2.1. Økonomisk ramme 2018'!E19/100)</f>
        <v>10566870.747685879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169</v>
      </c>
      <c r="C11" s="59"/>
      <c r="D11" s="60"/>
      <c r="E11" s="12">
        <v>131567</v>
      </c>
      <c r="F11" s="9" t="s">
        <v>4</v>
      </c>
      <c r="G11" s="13"/>
      <c r="H11" s="14"/>
      <c r="I11" s="2"/>
    </row>
    <row r="12" spans="1:9" x14ac:dyDescent="0.25">
      <c r="A12" s="2"/>
      <c r="B12" s="100" t="s">
        <v>61</v>
      </c>
      <c r="C12" s="89"/>
      <c r="D12" s="90"/>
      <c r="E12" s="12">
        <f>($E$9+E11)*'Fane 2.1. Økonomisk ramme 2018'!E19/100</f>
        <v>634798.63165053085</v>
      </c>
      <c r="F12" s="9" t="s">
        <v>4</v>
      </c>
      <c r="G12" s="15"/>
      <c r="H12" s="14"/>
      <c r="I12" s="2"/>
    </row>
    <row r="13" spans="1:9" x14ac:dyDescent="0.25">
      <c r="A13" s="2"/>
      <c r="B13" s="100" t="s">
        <v>15</v>
      </c>
      <c r="C13" s="89"/>
      <c r="D13" s="90"/>
      <c r="E13" s="12">
        <f>($E$9+E11-$E$10)*(1+'Fane 2.1. Økonomisk ramme 2018'!E19/100)*'Fane 5. Individuelt eff.krav'!$G$11/100</f>
        <v>304522.92553545244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495262.1458010521</v>
      </c>
      <c r="F14" s="9" t="s">
        <v>4</v>
      </c>
      <c r="G14" s="16"/>
      <c r="H14" s="17"/>
      <c r="I14" s="2"/>
    </row>
    <row r="15" spans="1:9" x14ac:dyDescent="0.25">
      <c r="A15" s="2"/>
      <c r="B15" s="101" t="s">
        <v>179</v>
      </c>
      <c r="C15" s="102"/>
      <c r="D15" s="103"/>
      <c r="E15" s="18">
        <f>$E$9+$E$12-$E$13-$E$14+E11</f>
        <v>36109221.083201498</v>
      </c>
      <c r="F15" s="19" t="s">
        <v>4</v>
      </c>
      <c r="G15" s="18">
        <f>E15</f>
        <v>36109221.083201498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91" t="s">
        <v>55</v>
      </c>
      <c r="C17" s="92"/>
      <c r="D17" s="93"/>
      <c r="E17" s="18">
        <f>IF('Fane 7. Hist. over el. underdæk'!$G$12&gt;1,'Fane 7. Hist. over el. underdæk'!$G$13,0)</f>
        <v>-3258500.792768959</v>
      </c>
      <c r="F17" s="19" t="s">
        <v>4</v>
      </c>
      <c r="G17" s="18">
        <f>E17</f>
        <v>-3258500.792768959</v>
      </c>
      <c r="H17" s="19" t="s">
        <v>4</v>
      </c>
      <c r="I17" s="2"/>
    </row>
    <row r="18" spans="1:9" x14ac:dyDescent="0.25">
      <c r="A18" s="2"/>
      <c r="B18" s="85" t="s">
        <v>109</v>
      </c>
      <c r="C18" s="86"/>
      <c r="D18" s="86"/>
      <c r="E18" s="86"/>
      <c r="F18" s="87"/>
      <c r="G18" s="21">
        <f>G15+G17</f>
        <v>32850720.290432539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141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112</v>
      </c>
      <c r="C9" s="89"/>
      <c r="D9" s="89"/>
      <c r="E9" s="89"/>
      <c r="F9" s="90"/>
      <c r="G9" s="27">
        <v>7068495.1811041422</v>
      </c>
      <c r="H9" s="23" t="s">
        <v>4</v>
      </c>
      <c r="I9" s="2"/>
    </row>
    <row r="10" spans="1:9" x14ac:dyDescent="0.25">
      <c r="A10" s="2"/>
      <c r="B10" s="100" t="s">
        <v>113</v>
      </c>
      <c r="C10" s="89"/>
      <c r="D10" s="89"/>
      <c r="E10" s="89"/>
      <c r="F10" s="90"/>
      <c r="G10" s="27">
        <v>19585071.818484224</v>
      </c>
      <c r="H10" s="23" t="s">
        <v>4</v>
      </c>
      <c r="I10" s="2"/>
    </row>
    <row r="11" spans="1:9" x14ac:dyDescent="0.25">
      <c r="A11" s="2"/>
      <c r="B11" s="100" t="s">
        <v>140</v>
      </c>
      <c r="C11" s="89"/>
      <c r="D11" s="89"/>
      <c r="E11" s="89"/>
      <c r="F11" s="90"/>
      <c r="G11" s="27">
        <v>11557063.532700138</v>
      </c>
      <c r="H11" s="23" t="s">
        <v>4</v>
      </c>
      <c r="I11" s="2"/>
    </row>
    <row r="12" spans="1:9" ht="17.25" customHeight="1" x14ac:dyDescent="0.25">
      <c r="A12" s="2"/>
      <c r="B12" s="104" t="s">
        <v>145</v>
      </c>
      <c r="C12" s="105"/>
      <c r="D12" s="105"/>
      <c r="E12" s="105"/>
      <c r="F12" s="106"/>
      <c r="G12" s="21">
        <f>SUM(G9:G11)</f>
        <v>38210630.532288507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169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100" t="s">
        <v>170</v>
      </c>
      <c r="C20" s="89"/>
      <c r="D20" s="89"/>
      <c r="E20" s="89"/>
      <c r="F20" s="90"/>
      <c r="G20" s="27">
        <v>129304</v>
      </c>
      <c r="H20" s="23" t="s">
        <v>4</v>
      </c>
      <c r="I20" s="2"/>
    </row>
    <row r="21" spans="1:9" x14ac:dyDescent="0.25">
      <c r="A21" s="2"/>
      <c r="B21" s="100" t="s">
        <v>171</v>
      </c>
      <c r="C21" s="89"/>
      <c r="D21" s="89"/>
      <c r="E21" s="89"/>
      <c r="F21" s="90"/>
      <c r="G21" s="27">
        <v>0</v>
      </c>
      <c r="H21" s="23" t="s">
        <v>4</v>
      </c>
      <c r="I21" s="2"/>
    </row>
    <row r="22" spans="1:9" x14ac:dyDescent="0.25">
      <c r="A22" s="2"/>
      <c r="B22" s="104" t="s">
        <v>172</v>
      </c>
      <c r="C22" s="105"/>
      <c r="D22" s="105"/>
      <c r="E22" s="105"/>
      <c r="F22" s="106"/>
      <c r="G22" s="21">
        <f>SUM(G20:G21)</f>
        <v>129304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114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115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91" t="s">
        <v>117</v>
      </c>
      <c r="C9" s="92"/>
      <c r="D9" s="93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08" t="s">
        <v>161</v>
      </c>
      <c r="C10" s="109"/>
      <c r="D10" s="109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162</v>
      </c>
      <c r="C11" s="109"/>
      <c r="D11" s="109"/>
      <c r="E11" s="56">
        <v>437486.21100000001</v>
      </c>
      <c r="F11" s="23" t="s">
        <v>4</v>
      </c>
      <c r="G11" s="27">
        <v>446784</v>
      </c>
      <c r="H11" s="23" t="s">
        <v>4</v>
      </c>
      <c r="I11" s="2"/>
    </row>
    <row r="12" spans="1:9" x14ac:dyDescent="0.25">
      <c r="A12" s="2"/>
      <c r="B12" s="108" t="s">
        <v>163</v>
      </c>
      <c r="C12" s="109"/>
      <c r="D12" s="109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164</v>
      </c>
      <c r="C13" s="109"/>
      <c r="D13" s="109"/>
      <c r="E13" s="56">
        <v>32399.4126</v>
      </c>
      <c r="F13" s="23" t="s">
        <v>4</v>
      </c>
      <c r="G13" s="27">
        <v>44607</v>
      </c>
      <c r="H13" s="23" t="s">
        <v>4</v>
      </c>
      <c r="I13" s="2"/>
    </row>
    <row r="14" spans="1:9" x14ac:dyDescent="0.25">
      <c r="A14" s="2"/>
      <c r="B14" s="108" t="s">
        <v>165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166</v>
      </c>
      <c r="C15" s="109"/>
      <c r="D15" s="109"/>
      <c r="E15" s="56">
        <v>0</v>
      </c>
      <c r="F15" s="23" t="s">
        <v>4</v>
      </c>
      <c r="G15" s="27">
        <v>0</v>
      </c>
      <c r="H15" s="23" t="s">
        <v>4</v>
      </c>
      <c r="I15" s="2"/>
    </row>
    <row r="16" spans="1:9" x14ac:dyDescent="0.25">
      <c r="A16" s="2"/>
      <c r="B16" s="108" t="s">
        <v>167</v>
      </c>
      <c r="C16" s="109"/>
      <c r="D16" s="109"/>
      <c r="E16" s="56">
        <v>10942243.864599999</v>
      </c>
      <c r="F16" s="23" t="s">
        <v>4</v>
      </c>
      <c r="G16" s="27">
        <v>9768962</v>
      </c>
      <c r="H16" s="23" t="s">
        <v>4</v>
      </c>
      <c r="I16" s="2"/>
    </row>
    <row r="17" spans="1:9" x14ac:dyDescent="0.25">
      <c r="A17" s="2"/>
      <c r="B17" s="108" t="s">
        <v>168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85" t="s">
        <v>136</v>
      </c>
      <c r="C18" s="86"/>
      <c r="D18" s="86"/>
      <c r="E18" s="86"/>
      <c r="F18" s="87"/>
      <c r="G18" s="21">
        <f>SUM(G10:G17)-SUM(E10:E17)</f>
        <v>-1151776.4881999996</v>
      </c>
      <c r="H18" s="22" t="s">
        <v>4</v>
      </c>
      <c r="I18" s="2"/>
    </row>
    <row r="19" spans="1:9" x14ac:dyDescent="0.25">
      <c r="A19" s="2"/>
      <c r="B19" s="85" t="s">
        <v>137</v>
      </c>
      <c r="C19" s="86"/>
      <c r="D19" s="86"/>
      <c r="E19" s="86"/>
      <c r="F19" s="87"/>
      <c r="G19" s="21">
        <f>G18*(1+'Fane 2.1. Økonomisk ramme 2018'!E19/100)</f>
        <v>-1171932.5767434996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51</v>
      </c>
      <c r="C9" s="89"/>
      <c r="D9" s="89"/>
      <c r="E9" s="89"/>
      <c r="F9" s="90"/>
      <c r="G9" s="12">
        <f>'Fane 3. Korrigeret grundlag'!G12-'Fane 3. Korrigeret grundlag'!G11+SUM('Fane 2.1. Økonomisk ramme 2018'!E13:E15,'Fane 2.1. Økonomisk ramme 2018'!E17:E18)</f>
        <v>26782870.99958837</v>
      </c>
      <c r="H9" s="23" t="s">
        <v>4</v>
      </c>
      <c r="I9" s="2"/>
    </row>
    <row r="10" spans="1:9" x14ac:dyDescent="0.25">
      <c r="A10" s="2"/>
      <c r="B10" s="48" t="s">
        <v>189</v>
      </c>
      <c r="C10" s="49"/>
      <c r="D10" s="49"/>
      <c r="E10" s="49"/>
      <c r="F10" s="50"/>
      <c r="G10" s="12">
        <v>-733812.6738869641</v>
      </c>
      <c r="H10" s="23" t="s">
        <v>4</v>
      </c>
      <c r="I10" s="2"/>
    </row>
    <row r="11" spans="1:9" x14ac:dyDescent="0.25">
      <c r="A11" s="2"/>
      <c r="B11" s="100" t="s">
        <v>37</v>
      </c>
      <c r="C11" s="89"/>
      <c r="D11" s="89"/>
      <c r="E11" s="89"/>
      <c r="F11" s="90"/>
      <c r="G11" s="29">
        <v>1.1642023952880904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308570.8767949192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72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10" t="s">
        <v>47</v>
      </c>
      <c r="C9" s="111"/>
      <c r="D9" s="111"/>
      <c r="E9" s="111"/>
      <c r="F9" s="112"/>
      <c r="G9" s="12">
        <f>'Fane 3. Korrigeret grundlag'!G9+(SUM('Fane 2.1. Økonomisk ramme 2018'!E13,'Fane 2.1. Økonomisk ramme 2018'!E14,'Fane 2.1. Økonomisk ramme 2018'!E17))</f>
        <v>7197799.1811041422</v>
      </c>
      <c r="H9" s="23" t="s">
        <v>4</v>
      </c>
      <c r="I9" s="2"/>
    </row>
    <row r="10" spans="1:9" x14ac:dyDescent="0.25">
      <c r="A10" s="2"/>
      <c r="B10" s="52" t="s">
        <v>188</v>
      </c>
      <c r="C10" s="53"/>
      <c r="D10" s="53"/>
      <c r="E10" s="53"/>
      <c r="F10" s="54"/>
      <c r="G10" s="12">
        <v>-137025.89102078931</v>
      </c>
      <c r="H10" s="23" t="s">
        <v>4</v>
      </c>
      <c r="I10" s="2"/>
    </row>
    <row r="11" spans="1:9" x14ac:dyDescent="0.25">
      <c r="A11" s="2"/>
      <c r="B11" s="100" t="s">
        <v>16</v>
      </c>
      <c r="C11" s="89"/>
      <c r="D11" s="89"/>
      <c r="E11" s="89"/>
      <c r="F11" s="90"/>
      <c r="G11" s="37">
        <f>2</f>
        <v>2</v>
      </c>
      <c r="H11" s="23" t="s">
        <v>38</v>
      </c>
      <c r="I11" s="2"/>
    </row>
    <row r="12" spans="1:9" x14ac:dyDescent="0.25">
      <c r="A12" s="2"/>
      <c r="B12" s="101" t="s">
        <v>39</v>
      </c>
      <c r="C12" s="102"/>
      <c r="D12" s="102"/>
      <c r="E12" s="102"/>
      <c r="F12" s="103"/>
      <c r="G12" s="18">
        <f>($G$9+$G$10)*(1+'Fane 2.1. Økonomisk ramme 2018'!E19/100)*$G$11/100</f>
        <v>143686.73645319624</v>
      </c>
      <c r="H12" s="38" t="s">
        <v>4</v>
      </c>
      <c r="I12" s="2"/>
    </row>
    <row r="13" spans="1:9" x14ac:dyDescent="0.25">
      <c r="A13" s="2"/>
      <c r="B13" s="100" t="s">
        <v>48</v>
      </c>
      <c r="C13" s="89"/>
      <c r="D13" s="89"/>
      <c r="E13" s="89"/>
      <c r="F13" s="90"/>
      <c r="G13" s="12">
        <f>'Fane 3. Korrigeret grundlag'!G10+SUM('Fane 2.1. Økonomisk ramme 2018'!E15,'Fane 2.1. Økonomisk ramme 2018'!E18)</f>
        <v>19585071.818484224</v>
      </c>
      <c r="H13" s="23" t="s">
        <v>4</v>
      </c>
      <c r="I13" s="2"/>
    </row>
    <row r="14" spans="1:9" x14ac:dyDescent="0.25">
      <c r="A14" s="2"/>
      <c r="B14" s="48" t="s">
        <v>190</v>
      </c>
      <c r="C14" s="49"/>
      <c r="D14" s="49"/>
      <c r="E14" s="49"/>
      <c r="F14" s="50"/>
      <c r="G14" s="12">
        <v>-179712.03162862203</v>
      </c>
      <c r="H14" s="23" t="s">
        <v>4</v>
      </c>
      <c r="I14" s="2"/>
    </row>
    <row r="15" spans="1:9" x14ac:dyDescent="0.25">
      <c r="A15" s="2"/>
      <c r="B15" s="100" t="s">
        <v>16</v>
      </c>
      <c r="C15" s="89"/>
      <c r="D15" s="89"/>
      <c r="E15" s="89"/>
      <c r="F15" s="90"/>
      <c r="G15" s="30">
        <v>1.77</v>
      </c>
      <c r="H15" s="23" t="s">
        <v>38</v>
      </c>
      <c r="I15" s="2"/>
    </row>
    <row r="16" spans="1:9" x14ac:dyDescent="0.25">
      <c r="A16" s="2"/>
      <c r="B16" s="101" t="s">
        <v>40</v>
      </c>
      <c r="C16" s="102"/>
      <c r="D16" s="102"/>
      <c r="E16" s="102"/>
      <c r="F16" s="103"/>
      <c r="G16" s="18">
        <f>($G$13+$G$14)*(1+'Fane 2.1. Økonomisk ramme 2018'!E19/100)*$G$15/100</f>
        <v>349485.67842132272</v>
      </c>
      <c r="H16" s="3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493172.41487451899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73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42</v>
      </c>
      <c r="C9" s="89"/>
      <c r="D9" s="89"/>
      <c r="E9" s="89"/>
      <c r="F9" s="90"/>
      <c r="G9" s="27">
        <v>-33431479</v>
      </c>
      <c r="H9" s="23" t="s">
        <v>4</v>
      </c>
      <c r="I9" s="2"/>
    </row>
    <row r="10" spans="1:9" x14ac:dyDescent="0.25">
      <c r="A10" s="2"/>
      <c r="B10" s="100" t="s">
        <v>122</v>
      </c>
      <c r="C10" s="89"/>
      <c r="D10" s="89"/>
      <c r="E10" s="89"/>
      <c r="F10" s="90"/>
      <c r="G10" s="27">
        <v>-23655976.621693123</v>
      </c>
      <c r="H10" s="23" t="s">
        <v>4</v>
      </c>
      <c r="I10" s="2"/>
    </row>
    <row r="11" spans="1:9" x14ac:dyDescent="0.25">
      <c r="A11" s="2"/>
      <c r="B11" s="113" t="s">
        <v>45</v>
      </c>
      <c r="C11" s="114"/>
      <c r="D11" s="114"/>
      <c r="E11" s="114"/>
      <c r="F11" s="115"/>
      <c r="G11" s="57">
        <f>G9-G10</f>
        <v>-9775502.3783068769</v>
      </c>
      <c r="H11" s="39" t="s">
        <v>4</v>
      </c>
      <c r="I11" s="2"/>
    </row>
    <row r="12" spans="1:9" x14ac:dyDescent="0.25">
      <c r="A12" s="2"/>
      <c r="B12" s="100" t="s">
        <v>43</v>
      </c>
      <c r="C12" s="89"/>
      <c r="D12" s="89"/>
      <c r="E12" s="89"/>
      <c r="F12" s="90"/>
      <c r="G12" s="27">
        <v>3</v>
      </c>
      <c r="H12" s="23" t="s">
        <v>127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-3258500.792768959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74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6" t="s">
        <v>3</v>
      </c>
      <c r="G9" s="116"/>
      <c r="H9" s="2"/>
    </row>
    <row r="10" spans="1:8" x14ac:dyDescent="0.25">
      <c r="A10" s="2"/>
      <c r="B10" s="47" t="s">
        <v>149</v>
      </c>
      <c r="C10" s="41">
        <v>2016</v>
      </c>
      <c r="D10" s="28">
        <v>75</v>
      </c>
      <c r="E10" s="27">
        <v>861140.13</v>
      </c>
      <c r="F10" s="12">
        <f>E10/D10</f>
        <v>11481.868399999999</v>
      </c>
      <c r="G10" s="23" t="s">
        <v>4</v>
      </c>
      <c r="H10" s="2"/>
    </row>
    <row r="11" spans="1:8" x14ac:dyDescent="0.25">
      <c r="A11" s="2"/>
      <c r="B11" s="47" t="s">
        <v>150</v>
      </c>
      <c r="C11" s="41">
        <v>2016</v>
      </c>
      <c r="D11" s="28">
        <v>75</v>
      </c>
      <c r="E11" s="27">
        <v>1008901.92</v>
      </c>
      <c r="F11" s="12">
        <f t="shared" ref="F11:F21" si="0">E11/D11</f>
        <v>13452.025600000001</v>
      </c>
      <c r="G11" s="23" t="s">
        <v>4</v>
      </c>
      <c r="H11" s="2"/>
    </row>
    <row r="12" spans="1:8" x14ac:dyDescent="0.25">
      <c r="A12" s="2"/>
      <c r="B12" s="47" t="s">
        <v>151</v>
      </c>
      <c r="C12" s="41">
        <v>2016</v>
      </c>
      <c r="D12" s="28">
        <v>5</v>
      </c>
      <c r="E12" s="27">
        <v>26436.14</v>
      </c>
      <c r="F12" s="12">
        <f t="shared" si="0"/>
        <v>5287.2280000000001</v>
      </c>
      <c r="G12" s="23" t="s">
        <v>4</v>
      </c>
      <c r="H12" s="2"/>
    </row>
    <row r="13" spans="1:8" x14ac:dyDescent="0.25">
      <c r="A13" s="2"/>
      <c r="B13" s="47" t="s">
        <v>152</v>
      </c>
      <c r="C13" s="41">
        <v>2016</v>
      </c>
      <c r="D13" s="28">
        <v>5</v>
      </c>
      <c r="E13" s="27">
        <v>74841.789999999994</v>
      </c>
      <c r="F13" s="12">
        <f t="shared" si="0"/>
        <v>14968.357999999998</v>
      </c>
      <c r="G13" s="23" t="s">
        <v>4</v>
      </c>
      <c r="H13" s="2"/>
    </row>
    <row r="14" spans="1:8" ht="26.25" x14ac:dyDescent="0.25">
      <c r="A14" s="2"/>
      <c r="B14" s="47" t="s">
        <v>153</v>
      </c>
      <c r="C14" s="41">
        <v>2016</v>
      </c>
      <c r="D14" s="28">
        <v>50</v>
      </c>
      <c r="E14" s="27">
        <v>4116984.38</v>
      </c>
      <c r="F14" s="12">
        <f t="shared" si="0"/>
        <v>82339.687600000005</v>
      </c>
      <c r="G14" s="23" t="s">
        <v>4</v>
      </c>
      <c r="H14" s="2"/>
    </row>
    <row r="15" spans="1:8" ht="39" x14ac:dyDescent="0.25">
      <c r="A15" s="2"/>
      <c r="B15" s="47" t="s">
        <v>154</v>
      </c>
      <c r="C15" s="41">
        <v>2016</v>
      </c>
      <c r="D15" s="28">
        <v>75</v>
      </c>
      <c r="E15" s="27">
        <v>53676.480000000003</v>
      </c>
      <c r="F15" s="12">
        <f t="shared" si="0"/>
        <v>715.68640000000005</v>
      </c>
      <c r="G15" s="23" t="s">
        <v>4</v>
      </c>
      <c r="H15" s="2"/>
    </row>
    <row r="16" spans="1:8" x14ac:dyDescent="0.25">
      <c r="A16" s="2"/>
      <c r="B16" s="47" t="s">
        <v>155</v>
      </c>
      <c r="C16" s="41">
        <v>2016</v>
      </c>
      <c r="D16" s="28">
        <v>75</v>
      </c>
      <c r="E16" s="27">
        <v>3469585.28</v>
      </c>
      <c r="F16" s="12">
        <f t="shared" si="0"/>
        <v>46261.137066666663</v>
      </c>
      <c r="G16" s="23" t="s">
        <v>4</v>
      </c>
      <c r="H16" s="2"/>
    </row>
    <row r="17" spans="1:8" x14ac:dyDescent="0.25">
      <c r="A17" s="2"/>
      <c r="B17" s="47" t="s">
        <v>156</v>
      </c>
      <c r="C17" s="41">
        <v>2016</v>
      </c>
      <c r="D17" s="28">
        <v>20</v>
      </c>
      <c r="E17" s="27">
        <v>208803.65</v>
      </c>
      <c r="F17" s="12">
        <f t="shared" si="0"/>
        <v>10440.182499999999</v>
      </c>
      <c r="G17" s="23" t="s">
        <v>4</v>
      </c>
      <c r="H17" s="2"/>
    </row>
    <row r="18" spans="1:8" x14ac:dyDescent="0.25">
      <c r="A18" s="2"/>
      <c r="B18" s="47" t="s">
        <v>157</v>
      </c>
      <c r="C18" s="41">
        <v>2016</v>
      </c>
      <c r="D18" s="28">
        <v>75</v>
      </c>
      <c r="E18" s="27">
        <v>598518.74</v>
      </c>
      <c r="F18" s="12">
        <f t="shared" si="0"/>
        <v>7980.2498666666661</v>
      </c>
      <c r="G18" s="23" t="s">
        <v>4</v>
      </c>
      <c r="H18" s="2"/>
    </row>
    <row r="19" spans="1:8" ht="39" x14ac:dyDescent="0.25">
      <c r="A19" s="2"/>
      <c r="B19" s="47" t="s">
        <v>158</v>
      </c>
      <c r="C19" s="41">
        <v>2016</v>
      </c>
      <c r="D19" s="28">
        <v>10</v>
      </c>
      <c r="E19" s="27">
        <v>199038.46</v>
      </c>
      <c r="F19" s="12">
        <f t="shared" si="0"/>
        <v>19903.845999999998</v>
      </c>
      <c r="G19" s="23" t="s">
        <v>4</v>
      </c>
      <c r="H19" s="2"/>
    </row>
    <row r="20" spans="1:8" x14ac:dyDescent="0.25">
      <c r="A20" s="2"/>
      <c r="B20" s="47" t="s">
        <v>159</v>
      </c>
      <c r="C20" s="41">
        <v>2016</v>
      </c>
      <c r="D20" s="28">
        <v>75</v>
      </c>
      <c r="E20" s="27">
        <v>2076910.11</v>
      </c>
      <c r="F20" s="12">
        <f t="shared" si="0"/>
        <v>27692.1348</v>
      </c>
      <c r="G20" s="23" t="s">
        <v>4</v>
      </c>
      <c r="H20" s="2"/>
    </row>
    <row r="21" spans="1:8" ht="26.25" x14ac:dyDescent="0.25">
      <c r="A21" s="2"/>
      <c r="B21" s="47" t="s">
        <v>160</v>
      </c>
      <c r="C21" s="41">
        <v>2016</v>
      </c>
      <c r="D21" s="28">
        <v>20</v>
      </c>
      <c r="E21" s="27">
        <v>1040164.83</v>
      </c>
      <c r="F21" s="12">
        <f t="shared" si="0"/>
        <v>52008.241499999996</v>
      </c>
      <c r="G21" s="23" t="s">
        <v>4</v>
      </c>
      <c r="H21" s="2"/>
    </row>
    <row r="22" spans="1:8" x14ac:dyDescent="0.25">
      <c r="A22" s="2"/>
      <c r="B22" s="85" t="s">
        <v>76</v>
      </c>
      <c r="C22" s="86"/>
      <c r="D22" s="86"/>
      <c r="E22" s="87"/>
      <c r="F22" s="21">
        <f>SUM(F10:F21)</f>
        <v>292530.64573333331</v>
      </c>
      <c r="G22" s="22" t="s">
        <v>4</v>
      </c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</sheetData>
  <sheetProtection password="DFE9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2017-10-13T11:56:17Z</dcterms:modified>
</cp:coreProperties>
</file>