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E10" i="15" l="1"/>
  <c r="F20" i="20" l="1"/>
  <c r="G13" i="10" l="1"/>
  <c r="E12" i="2" l="1"/>
  <c r="G11" i="10" l="1"/>
  <c r="F21" i="20"/>
  <c r="E16" i="2" s="1"/>
  <c r="G22" i="7"/>
  <c r="E13" i="2" s="1"/>
  <c r="G19" i="19" l="1"/>
  <c r="G20" i="19" s="1"/>
  <c r="E11" i="2" s="1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G16" i="9" s="1"/>
  <c r="D11" i="20"/>
  <c r="D12" i="20" s="1"/>
  <c r="E14" i="2" s="1"/>
  <c r="E18" i="2"/>
  <c r="E17" i="2"/>
  <c r="G12" i="9" l="1"/>
  <c r="G12" i="8"/>
  <c r="E10" i="2" l="1"/>
  <c r="G12" i="7"/>
  <c r="E9" i="2" l="1"/>
  <c r="E15" i="13"/>
  <c r="F11" i="11"/>
  <c r="F32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3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<sst xmlns="http://schemas.openxmlformats.org/spreadsheetml/2006/main" count="404" uniqueCount="202">
  <si>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</si>
  <si>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</si>
  <si>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</si>
  <si>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</si>
  <si>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</si>
  <si>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</si>
  <si>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</si>
  <si>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</si>
  <si>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</si>
  <si>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</si>
  <si>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</si>
  <si>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</si>
  <si>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</si>
  <si>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</si>
  <si>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</si>
  <si>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</si>
  <si>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</si>
  <si>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</si>
  <si>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</si>
  <si>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</si>
  <si>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</si>
  <si>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</si>
  <si>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</si>
  <si>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</si>
  <si>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</si>
  <si>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</si>
  <si>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</si>
  <si>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</si>
  <si>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</si>
  <si>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</si>
  <si>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</si>
  <si>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</si>
  <si>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</si>
  <si>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</si>
  <si>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</si>
  <si>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</si>
  <si>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</si>
  <si>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</si>
  <si>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</si>
  <si>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</si>
  <si>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</si>
  <si>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</si>
  <si>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</si>
  <si>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</si>
  <si>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</si>
  <si>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</si>
  <si>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</si>
  <si>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</si>
  <si>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</si>
  <si>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</si>
  <si>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</si>
  <si>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</si>
  <si>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</si>
  <si>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</si>
  <si>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</si>
  <si>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</si>
  <si>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</si>
  <si>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</si>
  <si>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</si>
  <si>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</si>
  <si>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</si>
  <si>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</si>
  <si>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</si>
  <si>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</si>
  <si>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</si>
  <si>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</si>
  <si>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</si>
  <si>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</si>
  <si>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</si>
  <si>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</si>
  <si>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</si>
  <si>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</si>
  <si>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</si>
  <si>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</si>
  <si>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</si>
  <si>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</si>
  <si>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</si>
  <si>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</si>
  <si>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</si>
  <si>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</si>
  <si>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</si>
  <si>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</si>
  <si>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</si>
  <si>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</si>
  <si>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</si>
  <si>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</si>
  <si>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</si>
  <si>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</si>
  <si>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</si>
  <si>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</si>
  <si>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</si>
  <si>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</si>
  <si>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</si>
  <si>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</si>
  <si>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</si>
  <si>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</si>
  <si>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</si>
  <si>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</si>
  <si>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</si>
  <si>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</si>
  <si>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</si>
  <si>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</si>
  <si>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</si>
  <si>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</si>
  <si>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</si>
  <si>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</si>
  <si>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</si>
  <si>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</si>
  <si>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</si>
  <si>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</si>
  <si>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</si>
  <si>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</si>
  <si>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</si>
  <si>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</si>
  <si>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</si>
  <si>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</si>
  <si>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</si>
  <si>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</si>
  <si>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</si>
  <si>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</si>
  <si>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</si>
  <si>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</si>
  <si>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</si>
  <si>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</si>
  <si>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</si>
  <si>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</si>
  <si>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</si>
  <si>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</si>
  <si>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</si>
  <si>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</si>
  <si>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</si>
  <si>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</si>
  <si>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</si>
  <si>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</si>
  <si>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</si>
  <si>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</si>
  <si>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</si>
  <si>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</si>
  <si>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</si>
  <si>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</si>
  <si>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</si>
  <si>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</si>
  <si>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</si>
  <si>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</si>
  <si>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</si>
  <si>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</si>
  <si>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</si>
  <si>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</si>
  <si>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</si>
  <si>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Ø 200 mm &lt; Ledningsnet ≤ Ø 500 mm</t>
  </si>
  <si>
    <t>Solcelleanlæg</t>
  </si>
  <si>
    <t>SRO(Software)</t>
  </si>
  <si>
    <t>Software (Generalt)</t>
  </si>
  <si>
    <t>Strømpeforing Ø 500 mm &lt; Ledningsnet ≤ Ø 800 mm</t>
  </si>
  <si>
    <t>Ledningsnet ≤ Ø 200 mm</t>
  </si>
  <si>
    <t>Stik</t>
  </si>
  <si>
    <t>Ø 1000 mm &lt; Ledningsnet ≤ Ø 1200 mm</t>
  </si>
  <si>
    <t>Pumpestationer i brønde (&lt; 6,25 m2), Mek/EL</t>
  </si>
  <si>
    <t>Ø 800 mm &lt; Ledningsnet ≤ Ø 1000 mm</t>
  </si>
  <si>
    <t>Kælder (7 - 20 m2)</t>
  </si>
  <si>
    <t>Installationer "mekaniske riste og SRO" Miljøklasse A. (7-20 m2) - Mek/EL</t>
  </si>
  <si>
    <t>Ø 500 mm &lt; Ledningsnet ≤ Ø 800 mm</t>
  </si>
  <si>
    <t>Brønde</t>
  </si>
  <si>
    <t>Pumpeinstallation Miljøklasse A (1.000-1.500 l/s) - Mek/EL</t>
  </si>
  <si>
    <t>Pumpeinstallation Miljøklasse A (300-600 l/s) - Mek/EL</t>
  </si>
  <si>
    <t>Installationer "mekaniske riste og SRO" Miljøklasse A. (7-20 m2) - SRO</t>
  </si>
  <si>
    <t>Mindre renseanlæg &lt; 5.000 PE uden mulighed for opdeling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</si>
  <si>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</si>
  <si>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</si>
  <si>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</si>
  <si>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</si>
  <si>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</si>
  <si>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</si>
  <si>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</si>
  <si>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</si>
  <si>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</si>
  <si>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</si>
  <si>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</si>
  <si>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</si>
  <si>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</si>
  <si>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</si>
  <si>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</si>
  <si>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</si>
  <si>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</si>
  <si>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</si>
  <si>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</si>
  <si>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</si>
  <si>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</si>
  <si>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</si>
  <si>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</si>
  <si>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</si>
  <si>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</si>
  <si>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</si>
  <si>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</si>
  <si>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Tilbagebetaling af vejbidrag (§11, stk. 9)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</si>
  <si>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</si>
  <si>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</si>
  <si>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</si>
  <si>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</si>
  <si>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Nye ikke-påvirkelige omkostninger og ændring af tidligere godkendte medfinansieringsprojekter</t>
  </si>
  <si>
    <t>Frafald af medfinansieringsprojektet Amagerbrogade</t>
  </si>
  <si>
    <t>Meromkostninger til medfinansieringsprojektet Enghaveparken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</si>
</sst>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187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89" t="s">
        <v>80</v>
      </c>
      <c r="C9" s="90"/>
      <c r="D9" s="90"/>
      <c r="E9" s="90"/>
      <c r="F9" s="91"/>
      <c r="G9" s="27">
        <v>247309165</v>
      </c>
      <c r="H9" s="23" t="s">
        <v>4</v>
      </c>
      <c r="I9" s="2"/>
    </row>
    <row r="10" spans="1:9" x14ac:dyDescent="0.25">
      <c r="A10" s="2"/>
      <c r="B10" s="89" t="s">
        <v>81</v>
      </c>
      <c r="C10" s="90"/>
      <c r="D10" s="90"/>
      <c r="E10" s="90"/>
      <c r="F10" s="91"/>
      <c r="G10" s="27">
        <v>243974546</v>
      </c>
      <c r="H10" s="23" t="s">
        <v>4</v>
      </c>
      <c r="I10" s="2"/>
    </row>
    <row r="11" spans="1:9" x14ac:dyDescent="0.25">
      <c r="A11" s="2"/>
      <c r="B11" s="99" t="s">
        <v>188</v>
      </c>
      <c r="C11" s="100"/>
      <c r="D11" s="100"/>
      <c r="E11" s="100"/>
      <c r="F11" s="101"/>
      <c r="G11" s="21">
        <f>G9-G10</f>
        <v>3334619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189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89" t="s">
        <v>82</v>
      </c>
      <c r="C15" s="90"/>
      <c r="D15" s="90"/>
      <c r="E15" s="90"/>
      <c r="F15" s="91"/>
      <c r="G15" s="27">
        <v>3932361</v>
      </c>
      <c r="H15" s="23" t="s">
        <v>4</v>
      </c>
      <c r="I15" s="2"/>
    </row>
    <row r="16" spans="1:9" x14ac:dyDescent="0.25">
      <c r="A16" s="2"/>
      <c r="B16" s="89" t="s">
        <v>83</v>
      </c>
      <c r="C16" s="90"/>
      <c r="D16" s="90"/>
      <c r="E16" s="90"/>
      <c r="F16" s="91"/>
      <c r="G16" s="27">
        <v>5000000</v>
      </c>
      <c r="H16" s="23" t="s">
        <v>4</v>
      </c>
      <c r="I16" s="2"/>
    </row>
    <row r="17" spans="1:9" x14ac:dyDescent="0.25">
      <c r="A17" s="2"/>
      <c r="B17" s="99" t="s">
        <v>189</v>
      </c>
      <c r="C17" s="100"/>
      <c r="D17" s="100"/>
      <c r="E17" s="100"/>
      <c r="F17" s="101"/>
      <c r="G17" s="21">
        <f>G15-G16</f>
        <v>-1067639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190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89" t="s">
        <v>84</v>
      </c>
      <c r="C21" s="90"/>
      <c r="D21" s="90"/>
      <c r="E21" s="90"/>
      <c r="F21" s="91"/>
      <c r="G21" s="27">
        <v>8085691</v>
      </c>
      <c r="H21" s="23" t="s">
        <v>4</v>
      </c>
      <c r="I21" s="2"/>
    </row>
    <row r="22" spans="1:9" x14ac:dyDescent="0.25">
      <c r="A22" s="2"/>
      <c r="B22" s="89" t="s">
        <v>85</v>
      </c>
      <c r="C22" s="90"/>
      <c r="D22" s="90"/>
      <c r="E22" s="90"/>
      <c r="F22" s="91"/>
      <c r="G22" s="27">
        <v>5170000</v>
      </c>
      <c r="H22" s="23" t="s">
        <v>4</v>
      </c>
      <c r="I22" s="2"/>
    </row>
    <row r="23" spans="1:9" x14ac:dyDescent="0.25">
      <c r="A23" s="2"/>
      <c r="B23" s="99" t="s">
        <v>190</v>
      </c>
      <c r="C23" s="100"/>
      <c r="D23" s="100"/>
      <c r="E23" s="100"/>
      <c r="F23" s="101"/>
      <c r="G23" s="21">
        <f>G21-G22</f>
        <v>2915691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191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86" t="s">
        <v>86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87</v>
      </c>
      <c r="C28" s="90"/>
      <c r="D28" s="90"/>
      <c r="E28" s="90"/>
      <c r="F28" s="91"/>
      <c r="G28" s="27">
        <v>28903067.828090291</v>
      </c>
      <c r="H28" s="23" t="s">
        <v>4</v>
      </c>
      <c r="I28" s="2"/>
    </row>
    <row r="29" spans="1:9" ht="15" customHeight="1" x14ac:dyDescent="0.25">
      <c r="A29" s="2"/>
      <c r="B29" s="105" t="s">
        <v>191</v>
      </c>
      <c r="C29" s="106"/>
      <c r="D29" s="106"/>
      <c r="E29" s="106"/>
      <c r="F29" s="107"/>
      <c r="G29" s="21">
        <f>G27-G28</f>
        <v>-28903067.828090291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88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89" t="s">
        <v>89</v>
      </c>
      <c r="C33" s="90"/>
      <c r="D33" s="90"/>
      <c r="E33" s="90"/>
      <c r="F33" s="91"/>
      <c r="G33" s="12">
        <f>'Fane 8. Gen. inv. i 2016'!F33</f>
        <v>3368341.3308499991</v>
      </c>
      <c r="H33" s="23" t="s">
        <v>4</v>
      </c>
      <c r="I33" s="2"/>
    </row>
    <row r="34" spans="1:9" x14ac:dyDescent="0.25">
      <c r="A34" s="2"/>
      <c r="B34" s="89" t="s">
        <v>90</v>
      </c>
      <c r="C34" s="90"/>
      <c r="D34" s="90"/>
      <c r="E34" s="90"/>
      <c r="F34" s="91"/>
      <c r="G34" s="27">
        <v>7571085</v>
      </c>
      <c r="H34" s="23" t="s">
        <v>4</v>
      </c>
      <c r="I34" s="2"/>
    </row>
    <row r="35" spans="1:9" x14ac:dyDescent="0.25">
      <c r="A35" s="2"/>
      <c r="B35" s="99" t="s">
        <v>88</v>
      </c>
      <c r="C35" s="100"/>
      <c r="D35" s="100"/>
      <c r="E35" s="100"/>
      <c r="F35" s="101"/>
      <c r="G35" s="21">
        <f>G33-G34</f>
        <v>-4202743.6691500004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99" t="s">
        <v>192</v>
      </c>
      <c r="C38" s="100"/>
      <c r="D38" s="100"/>
      <c r="E38" s="100"/>
      <c r="F38" s="100"/>
      <c r="G38" s="100"/>
      <c r="H38" s="101"/>
      <c r="I38" s="2"/>
    </row>
    <row r="39" spans="1:9" x14ac:dyDescent="0.25">
      <c r="A39" s="2"/>
      <c r="B39" s="89" t="s">
        <v>146</v>
      </c>
      <c r="C39" s="90"/>
      <c r="D39" s="90"/>
      <c r="E39" s="90"/>
      <c r="F39" s="91"/>
      <c r="G39" s="27">
        <v>7417189.7800000003</v>
      </c>
      <c r="H39" s="23" t="s">
        <v>4</v>
      </c>
      <c r="I39" s="2"/>
    </row>
    <row r="40" spans="1:9" x14ac:dyDescent="0.25">
      <c r="A40" s="2"/>
      <c r="B40" s="89" t="s">
        <v>79</v>
      </c>
      <c r="C40" s="90"/>
      <c r="D40" s="90"/>
      <c r="E40" s="90"/>
      <c r="F40" s="91"/>
      <c r="G40" s="27">
        <v>5982244.9671974396</v>
      </c>
      <c r="H40" s="23" t="s">
        <v>4</v>
      </c>
      <c r="I40" s="2"/>
    </row>
    <row r="41" spans="1:9" x14ac:dyDescent="0.25">
      <c r="A41" s="2"/>
      <c r="B41" s="99" t="s">
        <v>192</v>
      </c>
      <c r="C41" s="100"/>
      <c r="D41" s="100"/>
      <c r="E41" s="100"/>
      <c r="F41" s="101"/>
      <c r="G41" s="21">
        <f>G39-G40</f>
        <v>1434944.8128025606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91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92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93</v>
      </c>
      <c r="C9" s="97"/>
      <c r="D9" s="97"/>
      <c r="E9" s="97"/>
      <c r="F9" s="98"/>
      <c r="G9" s="26">
        <v>422703417.93233466</v>
      </c>
      <c r="H9" s="38" t="s">
        <v>4</v>
      </c>
      <c r="I9" s="2"/>
    </row>
    <row r="10" spans="1:9" x14ac:dyDescent="0.25">
      <c r="A10" s="2"/>
      <c r="B10" s="99" t="s">
        <v>94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115209657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95</v>
      </c>
      <c r="C12" s="90"/>
      <c r="D12" s="91"/>
      <c r="E12" s="27">
        <v>12985119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96</v>
      </c>
      <c r="C13" s="90"/>
      <c r="D13" s="91"/>
      <c r="E13" s="27">
        <v>4180962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97</v>
      </c>
      <c r="C14" s="90"/>
      <c r="D14" s="91"/>
      <c r="E14" s="27">
        <v>11977923.4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144353661.40000001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45854270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600000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46454270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-15604599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-162393962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-12809370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-190807931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0.40000000596046448</v>
      </c>
      <c r="F28" s="38" t="s">
        <v>4</v>
      </c>
      <c r="G28" s="1">
        <f>IF(E28&lt;0,0,-E28)</f>
        <v>-0.40000000596046448</v>
      </c>
      <c r="H28" s="38" t="s">
        <v>4</v>
      </c>
      <c r="I28" s="2"/>
    </row>
    <row r="29" spans="1:9" x14ac:dyDescent="0.25">
      <c r="A29" s="2"/>
      <c r="B29" s="99" t="s">
        <v>98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98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8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454505965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4460906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458966871</v>
      </c>
      <c r="F35" s="38" t="s">
        <v>4</v>
      </c>
      <c r="G35" s="18">
        <f>-E35</f>
        <v>-458966871</v>
      </c>
      <c r="H35" s="38" t="s">
        <v>4</v>
      </c>
      <c r="I35" s="2"/>
    </row>
    <row r="36" spans="1:9" x14ac:dyDescent="0.25">
      <c r="A36" s="2"/>
      <c r="B36" s="99" t="s">
        <v>99</v>
      </c>
      <c r="C36" s="100"/>
      <c r="D36" s="100"/>
      <c r="E36" s="100"/>
      <c r="F36" s="101"/>
      <c r="G36" s="21">
        <f>$G$9+$G$28+$G$30+$G$35</f>
        <v>-36263453.467665315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184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118</v>
      </c>
      <c r="C9" s="94"/>
      <c r="D9" s="117" t="s">
        <v>47</v>
      </c>
      <c r="E9" s="117"/>
      <c r="F9" s="117" t="s">
        <v>129</v>
      </c>
      <c r="G9" s="117"/>
      <c r="H9" s="2"/>
    </row>
    <row r="10" spans="1:8" x14ac:dyDescent="0.25">
      <c r="A10" s="2"/>
      <c r="B10" s="119" t="s">
        <v>185</v>
      </c>
      <c r="C10" s="120"/>
      <c r="D10" s="48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135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148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199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198</v>
      </c>
      <c r="C16" s="93"/>
      <c r="D16" s="93"/>
      <c r="E16" s="94"/>
      <c r="F16" s="117" t="s">
        <v>181</v>
      </c>
      <c r="G16" s="117"/>
      <c r="H16" s="2"/>
    </row>
    <row r="17" spans="1:8" x14ac:dyDescent="0.25">
      <c r="A17" s="2"/>
      <c r="B17" s="89" t="s">
        <v>194</v>
      </c>
      <c r="C17" s="90"/>
      <c r="D17" s="90"/>
      <c r="E17" s="91"/>
      <c r="F17" s="27">
        <v>25400000</v>
      </c>
      <c r="G17" s="23" t="s">
        <v>4</v>
      </c>
      <c r="H17" s="2"/>
    </row>
    <row r="18" spans="1:8" x14ac:dyDescent="0.25">
      <c r="A18" s="2"/>
      <c r="B18" s="89" t="s">
        <v>200</v>
      </c>
      <c r="C18" s="90"/>
      <c r="D18" s="90"/>
      <c r="E18" s="91"/>
      <c r="F18" s="27">
        <v>-1650772</v>
      </c>
      <c r="G18" s="23" t="s">
        <v>4</v>
      </c>
      <c r="H18" s="2"/>
    </row>
    <row r="19" spans="1:8" x14ac:dyDescent="0.25">
      <c r="A19" s="2"/>
      <c r="B19" s="89" t="s">
        <v>201</v>
      </c>
      <c r="C19" s="90"/>
      <c r="D19" s="90"/>
      <c r="E19" s="91"/>
      <c r="F19" s="27">
        <v>950812</v>
      </c>
      <c r="G19" s="23" t="s">
        <v>4</v>
      </c>
      <c r="H19" s="2"/>
    </row>
    <row r="20" spans="1:8" x14ac:dyDescent="0.25">
      <c r="A20" s="2"/>
      <c r="B20" s="99" t="s">
        <v>182</v>
      </c>
      <c r="C20" s="100"/>
      <c r="D20" s="100"/>
      <c r="E20" s="101"/>
      <c r="F20" s="21">
        <f>SUM(F17:F19)</f>
        <v>24700040</v>
      </c>
      <c r="G20" s="22" t="s">
        <v>4</v>
      </c>
      <c r="H20" s="2"/>
    </row>
    <row r="21" spans="1:8" x14ac:dyDescent="0.25">
      <c r="A21" s="2"/>
      <c r="B21" s="99" t="s">
        <v>183</v>
      </c>
      <c r="C21" s="100"/>
      <c r="D21" s="100"/>
      <c r="E21" s="101"/>
      <c r="F21" s="21">
        <f>F20*(1+'Fane 2.1. Økonomisk ramme 2018'!E19/100)</f>
        <v>25132290.700000003</v>
      </c>
      <c r="G21" s="22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16">
    <mergeCell ref="B21:E21"/>
    <mergeCell ref="B15:G15"/>
    <mergeCell ref="F16:G16"/>
    <mergeCell ref="B12:C12"/>
    <mergeCell ref="B11:C11"/>
    <mergeCell ref="B16:E16"/>
    <mergeCell ref="B17:E17"/>
    <mergeCell ref="B20:E20"/>
    <mergeCell ref="B18:E18"/>
    <mergeCell ref="B19:E19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120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119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121</v>
      </c>
      <c r="C9" s="46"/>
      <c r="D9" s="117" t="s">
        <v>47</v>
      </c>
      <c r="E9" s="117"/>
      <c r="F9" s="117" t="s">
        <v>129</v>
      </c>
      <c r="G9" s="117"/>
      <c r="H9" s="2"/>
    </row>
    <row r="10" spans="1:8" x14ac:dyDescent="0.25">
      <c r="A10" s="2"/>
      <c r="B10" s="35" t="s">
        <v>193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130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147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536414647.86015999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277651522.66241086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123</v>
      </c>
      <c r="C11" s="90"/>
      <c r="D11" s="91"/>
      <c r="E11" s="12">
        <f>'Fane 4. Ikke-påvirkelige omk.'!G20</f>
        <v>-27624278.971542023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196</v>
      </c>
      <c r="C12" s="52"/>
      <c r="D12" s="53"/>
      <c r="E12" s="12">
        <f>'Fane 5. Individuelt eff.krav'!G10</f>
        <v>-7723461.4073488722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176</v>
      </c>
      <c r="C13" s="102"/>
      <c r="D13" s="103"/>
      <c r="E13" s="12">
        <f>'Fane 3. Korrigeret grundlag'!G22</f>
        <v>5075172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131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132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180</v>
      </c>
      <c r="C16" s="87"/>
      <c r="D16" s="88"/>
      <c r="E16" s="12">
        <f>'Fane 11. Tillæg'!F21</f>
        <v>25132290.700000003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133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134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125</v>
      </c>
      <c r="C20" s="90"/>
      <c r="D20" s="91"/>
      <c r="E20" s="12">
        <f>SUM(E9,E11:E18)*(E19/100)</f>
        <v>9297301.478172211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1670095.8733573419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4947337.6538971076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186</v>
      </c>
      <c r="C23" s="97"/>
      <c r="D23" s="98"/>
      <c r="E23" s="18">
        <f>SUM(E9,E11:E18,E20)-SUM(E21:E22)</f>
        <v>533954238.13218689</v>
      </c>
      <c r="F23" s="19" t="s">
        <v>4</v>
      </c>
      <c r="G23" s="18">
        <f>E23</f>
        <v>533954238.13218689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99" t="s">
        <v>100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107</v>
      </c>
      <c r="C27" s="87"/>
      <c r="D27" s="88"/>
      <c r="E27" s="12">
        <f>'Fane 9. Korrektion af PL2016'!G11</f>
        <v>3334619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101</v>
      </c>
      <c r="C28" s="87"/>
      <c r="D28" s="88"/>
      <c r="E28" s="12">
        <f>'Fane 9. Korrektion af PL2016'!G17</f>
        <v>-1067639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102</v>
      </c>
      <c r="C29" s="87"/>
      <c r="D29" s="88"/>
      <c r="E29" s="12">
        <f>'Fane 9. Korrektion af PL2016'!G23</f>
        <v>2915691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103</v>
      </c>
      <c r="C30" s="87"/>
      <c r="D30" s="88"/>
      <c r="E30" s="12">
        <f>'Fane 9. Korrektion af PL2016'!G29</f>
        <v>-28903067.828090291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104</v>
      </c>
      <c r="C31" s="87"/>
      <c r="D31" s="88"/>
      <c r="E31" s="12">
        <f>'Fane 9. Korrektion af PL2016'!G35</f>
        <v>-4202743.6691500004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6" t="s">
        <v>78</v>
      </c>
      <c r="C32" s="87"/>
      <c r="D32" s="88"/>
      <c r="E32" s="12">
        <f>'Fane 9. Korrektion af PL2016'!G41</f>
        <v>1434944.8128025606</v>
      </c>
      <c r="F32" s="9" t="s">
        <v>4</v>
      </c>
      <c r="G32" s="16"/>
      <c r="H32" s="17"/>
      <c r="I32" s="2"/>
    </row>
    <row r="33" spans="1:9" x14ac:dyDescent="0.25">
      <c r="A33" s="2"/>
      <c r="B33" s="92" t="s">
        <v>105</v>
      </c>
      <c r="C33" s="93"/>
      <c r="D33" s="94"/>
      <c r="E33" s="18">
        <f>SUM(E27:E32)</f>
        <v>-26488195.684437729</v>
      </c>
      <c r="F33" s="19" t="s">
        <v>4</v>
      </c>
      <c r="G33" s="18">
        <f>E33</f>
        <v>-26488195.684437729</v>
      </c>
      <c r="H33" s="19" t="s">
        <v>4</v>
      </c>
      <c r="I33" s="2"/>
    </row>
    <row r="34" spans="1:9" x14ac:dyDescent="0.25">
      <c r="A34" s="2"/>
      <c r="B34" s="99" t="s">
        <v>18</v>
      </c>
      <c r="C34" s="100"/>
      <c r="D34" s="100"/>
      <c r="E34" s="100"/>
      <c r="F34" s="100"/>
      <c r="G34" s="100"/>
      <c r="H34" s="101"/>
      <c r="I34" s="2"/>
    </row>
    <row r="35" spans="1:9" x14ac:dyDescent="0.25">
      <c r="A35" s="2"/>
      <c r="B35" s="92" t="s">
        <v>106</v>
      </c>
      <c r="C35" s="93"/>
      <c r="D35" s="94"/>
      <c r="E35" s="18">
        <f>'Fane 10. Kontrol af PL2016'!G36</f>
        <v>-36263453.467665315</v>
      </c>
      <c r="F35" s="19" t="s">
        <v>4</v>
      </c>
      <c r="G35" s="18">
        <f>E35</f>
        <v>-36263453.467665315</v>
      </c>
      <c r="H35" s="19" t="s">
        <v>4</v>
      </c>
      <c r="I35" s="2"/>
    </row>
    <row r="36" spans="1:9" x14ac:dyDescent="0.25">
      <c r="A36" s="2"/>
      <c r="B36" s="99" t="s">
        <v>62</v>
      </c>
      <c r="C36" s="100"/>
      <c r="D36" s="100"/>
      <c r="E36" s="100"/>
      <c r="F36" s="101"/>
      <c r="G36" s="21">
        <f>G23+G25+G33+G35</f>
        <v>471202588.98008382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108</v>
      </c>
      <c r="C9" s="87"/>
      <c r="D9" s="88"/>
      <c r="E9" s="8">
        <f>'Fane 2.1. Økonomisk ramme 2018'!G23-'Fane 2.1. Økonomisk ramme 2018'!E13*(1+0.0175)*(1-0.02-'Fane 5. Individuelt eff.krav'!G11/100)</f>
        <v>528926624.99491286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2018'!E16)-'Fane 11. Tillæg'!F17*(1+'Fane 2.1. Økonomisk ramme 2018'!E19/100))*(1+'Fane 2.1. Økonomisk ramme 2018'!E19/100)</f>
        <v>253678047.49270907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176</v>
      </c>
      <c r="C11" s="59"/>
      <c r="D11" s="60"/>
      <c r="E11" s="12">
        <v>5163988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9346585.727410974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1828538.6203321589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5044567.9318889454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186</v>
      </c>
      <c r="C15" s="97"/>
      <c r="D15" s="98"/>
      <c r="E15" s="18">
        <f>$E$9+$E$12-$E$13-$E$14+E11</f>
        <v>536564092.17010278</v>
      </c>
      <c r="F15" s="19" t="s">
        <v>4</v>
      </c>
      <c r="G15" s="18">
        <f>E15</f>
        <v>536564092.17010278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99" t="s">
        <v>109</v>
      </c>
      <c r="C18" s="100"/>
      <c r="D18" s="100"/>
      <c r="E18" s="100"/>
      <c r="F18" s="101"/>
      <c r="G18" s="21">
        <f>G15+G17</f>
        <v>536564092.17010278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141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112</v>
      </c>
      <c r="C9" s="90"/>
      <c r="D9" s="90"/>
      <c r="E9" s="90"/>
      <c r="F9" s="91"/>
      <c r="G9" s="27">
        <v>109239873.32323912</v>
      </c>
      <c r="H9" s="23" t="s">
        <v>4</v>
      </c>
      <c r="I9" s="2"/>
    </row>
    <row r="10" spans="1:9" x14ac:dyDescent="0.25">
      <c r="A10" s="2"/>
      <c r="B10" s="89" t="s">
        <v>113</v>
      </c>
      <c r="C10" s="90"/>
      <c r="D10" s="90"/>
      <c r="E10" s="90"/>
      <c r="F10" s="91"/>
      <c r="G10" s="27">
        <v>149523251.87450999</v>
      </c>
      <c r="H10" s="23" t="s">
        <v>4</v>
      </c>
      <c r="I10" s="2"/>
    </row>
    <row r="11" spans="1:9" x14ac:dyDescent="0.25">
      <c r="A11" s="2"/>
      <c r="B11" s="89" t="s">
        <v>140</v>
      </c>
      <c r="C11" s="90"/>
      <c r="D11" s="90"/>
      <c r="E11" s="90"/>
      <c r="F11" s="91"/>
      <c r="G11" s="27">
        <v>277651522.66241086</v>
      </c>
      <c r="H11" s="23" t="s">
        <v>4</v>
      </c>
      <c r="I11" s="2"/>
    </row>
    <row r="12" spans="1:9" ht="17.25" customHeight="1" x14ac:dyDescent="0.25">
      <c r="A12" s="2"/>
      <c r="B12" s="105" t="s">
        <v>145</v>
      </c>
      <c r="C12" s="106"/>
      <c r="D12" s="106"/>
      <c r="E12" s="106"/>
      <c r="F12" s="107"/>
      <c r="G12" s="21">
        <f>SUM(G9:G11)</f>
        <v>536414647.86015999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176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177</v>
      </c>
      <c r="C20" s="90"/>
      <c r="D20" s="90"/>
      <c r="E20" s="90"/>
      <c r="F20" s="91"/>
      <c r="G20" s="27">
        <v>5075172</v>
      </c>
      <c r="H20" s="23" t="s">
        <v>4</v>
      </c>
      <c r="I20" s="2"/>
    </row>
    <row r="21" spans="1:9" x14ac:dyDescent="0.25">
      <c r="A21" s="2"/>
      <c r="B21" s="89" t="s">
        <v>178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105" t="s">
        <v>179</v>
      </c>
      <c r="C22" s="106"/>
      <c r="D22" s="106"/>
      <c r="E22" s="106"/>
      <c r="F22" s="107"/>
      <c r="G22" s="21">
        <f>SUM(G20:G21)</f>
        <v>5075172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115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117</v>
      </c>
      <c r="C9" s="93"/>
      <c r="D9" s="94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167</v>
      </c>
      <c r="C10" s="109"/>
      <c r="D10" s="109"/>
      <c r="E10" s="49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168</v>
      </c>
      <c r="C11" s="109"/>
      <c r="D11" s="109"/>
      <c r="E11" s="49">
        <v>5096630.9264000002</v>
      </c>
      <c r="F11" s="23" t="s">
        <v>4</v>
      </c>
      <c r="G11" s="27">
        <v>5107819</v>
      </c>
      <c r="H11" s="23" t="s">
        <v>4</v>
      </c>
      <c r="I11" s="2"/>
    </row>
    <row r="12" spans="1:9" x14ac:dyDescent="0.25">
      <c r="A12" s="2"/>
      <c r="B12" s="108" t="s">
        <v>169</v>
      </c>
      <c r="C12" s="109"/>
      <c r="D12" s="109"/>
      <c r="E12" s="49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170</v>
      </c>
      <c r="C13" s="109"/>
      <c r="D13" s="109"/>
      <c r="E13" s="49">
        <v>32399.4126</v>
      </c>
      <c r="F13" s="23" t="s">
        <v>4</v>
      </c>
      <c r="G13" s="27">
        <v>756609</v>
      </c>
      <c r="H13" s="23" t="s">
        <v>4</v>
      </c>
      <c r="I13" s="2"/>
    </row>
    <row r="14" spans="1:9" x14ac:dyDescent="0.25">
      <c r="A14" s="2"/>
      <c r="B14" s="108" t="s">
        <v>171</v>
      </c>
      <c r="C14" s="109"/>
      <c r="D14" s="109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172</v>
      </c>
      <c r="C15" s="109"/>
      <c r="D15" s="109"/>
      <c r="E15" s="49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8" t="s">
        <v>173</v>
      </c>
      <c r="C16" s="109"/>
      <c r="D16" s="109"/>
      <c r="E16" s="49">
        <v>249226384.18340001</v>
      </c>
      <c r="F16" s="23" t="s">
        <v>4</v>
      </c>
      <c r="G16" s="27">
        <v>241155972</v>
      </c>
      <c r="H16" s="23" t="s">
        <v>4</v>
      </c>
      <c r="I16" s="2"/>
    </row>
    <row r="17" spans="1:9" x14ac:dyDescent="0.25">
      <c r="A17" s="2"/>
      <c r="B17" s="108" t="s">
        <v>174</v>
      </c>
      <c r="C17" s="109"/>
      <c r="D17" s="109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ht="35.25" customHeight="1" x14ac:dyDescent="0.25">
      <c r="A18" s="2"/>
      <c r="B18" s="110" t="s">
        <v>175</v>
      </c>
      <c r="C18" s="110"/>
      <c r="D18" s="110"/>
      <c r="E18" s="49">
        <v>19814154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99" t="s">
        <v>136</v>
      </c>
      <c r="C19" s="100"/>
      <c r="D19" s="100"/>
      <c r="E19" s="100"/>
      <c r="F19" s="101"/>
      <c r="G19" s="21">
        <f>SUM(G10:G18)-SUM(E10:E18)</f>
        <v>-27149168.522400022</v>
      </c>
      <c r="H19" s="22" t="s">
        <v>4</v>
      </c>
      <c r="I19" s="2"/>
    </row>
    <row r="20" spans="1:9" x14ac:dyDescent="0.25">
      <c r="A20" s="2"/>
      <c r="B20" s="99" t="s">
        <v>137</v>
      </c>
      <c r="C20" s="100"/>
      <c r="D20" s="100"/>
      <c r="E20" s="100"/>
      <c r="F20" s="101"/>
      <c r="G20" s="21">
        <f>G19*(1+'Fane 2.1. Økonomisk ramme 2018'!E19/100)</f>
        <v>-27624278.971542023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263838297.19774914</v>
      </c>
      <c r="H9" s="23" t="s">
        <v>4</v>
      </c>
      <c r="I9" s="2"/>
    </row>
    <row r="10" spans="1:9" x14ac:dyDescent="0.25">
      <c r="A10" s="2"/>
      <c r="B10" s="54" t="s">
        <v>196</v>
      </c>
      <c r="C10" s="52"/>
      <c r="D10" s="52"/>
      <c r="E10" s="52"/>
      <c r="F10" s="53"/>
      <c r="G10" s="12">
        <v>-7723461.4073488722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0.64087340377686286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1670095.8733573419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2018'!E14,'Fane 2.1. Økonomisk ramme 2018'!E17))</f>
        <v>114315045.32323912</v>
      </c>
      <c r="H9" s="23" t="s">
        <v>4</v>
      </c>
      <c r="I9" s="2"/>
    </row>
    <row r="10" spans="1:9" x14ac:dyDescent="0.25">
      <c r="A10" s="2"/>
      <c r="B10" s="55" t="s">
        <v>195</v>
      </c>
      <c r="C10" s="56"/>
      <c r="D10" s="56"/>
      <c r="E10" s="56"/>
      <c r="F10" s="57"/>
      <c r="G10" s="12">
        <v>-2292480.2906173067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2279659.1984138545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149523251.87450999</v>
      </c>
      <c r="H13" s="23" t="s">
        <v>4</v>
      </c>
      <c r="I13" s="2"/>
    </row>
    <row r="14" spans="1:9" x14ac:dyDescent="0.25">
      <c r="A14" s="2"/>
      <c r="B14" s="54" t="s">
        <v>197</v>
      </c>
      <c r="C14" s="52"/>
      <c r="D14" s="52"/>
      <c r="E14" s="52"/>
      <c r="F14" s="53"/>
      <c r="G14" s="12">
        <v>-1399127.1374507346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2667678.4554832531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4947337.6538971076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-118441000</v>
      </c>
      <c r="H9" s="23" t="s">
        <v>4</v>
      </c>
      <c r="I9" s="2"/>
    </row>
    <row r="10" spans="1:9" x14ac:dyDescent="0.25">
      <c r="A10" s="2"/>
      <c r="B10" s="89" t="s">
        <v>122</v>
      </c>
      <c r="C10" s="90"/>
      <c r="D10" s="90"/>
      <c r="E10" s="90"/>
      <c r="F10" s="91"/>
      <c r="G10" s="27">
        <v>-118441000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0">
        <f>G9-G10</f>
        <v>0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0</v>
      </c>
      <c r="H12" s="23" t="s">
        <v>127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113365.25</v>
      </c>
      <c r="F10" s="12">
        <f>E10/D10</f>
        <v>1511.5366666666666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25</v>
      </c>
      <c r="E11" s="27">
        <v>821099.81</v>
      </c>
      <c r="F11" s="12">
        <f t="shared" ref="F11:F32" si="0">E11/D11</f>
        <v>32843.992400000003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5</v>
      </c>
      <c r="E12" s="27">
        <v>2322056.92</v>
      </c>
      <c r="F12" s="12">
        <f t="shared" si="0"/>
        <v>464411.38399999996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5</v>
      </c>
      <c r="E13" s="27">
        <v>1179.3</v>
      </c>
      <c r="F13" s="12">
        <f t="shared" si="0"/>
        <v>235.85999999999999</v>
      </c>
      <c r="G13" s="23" t="s">
        <v>4</v>
      </c>
      <c r="H13" s="2"/>
    </row>
    <row r="14" spans="1:8" x14ac:dyDescent="0.25">
      <c r="A14" s="2"/>
      <c r="B14" s="47" t="s">
        <v>152</v>
      </c>
      <c r="C14" s="41">
        <v>2016</v>
      </c>
      <c r="D14" s="28">
        <v>5</v>
      </c>
      <c r="E14" s="27">
        <v>2615849.5299999998</v>
      </c>
      <c r="F14" s="12">
        <f t="shared" si="0"/>
        <v>523169.90599999996</v>
      </c>
      <c r="G14" s="23" t="s">
        <v>4</v>
      </c>
      <c r="H14" s="2"/>
    </row>
    <row r="15" spans="1:8" ht="26.25" x14ac:dyDescent="0.25">
      <c r="A15" s="2"/>
      <c r="B15" s="47" t="s">
        <v>153</v>
      </c>
      <c r="C15" s="41">
        <v>2016</v>
      </c>
      <c r="D15" s="28">
        <v>50</v>
      </c>
      <c r="E15" s="27">
        <v>9569632.6300000008</v>
      </c>
      <c r="F15" s="12">
        <f t="shared" si="0"/>
        <v>191392.65260000003</v>
      </c>
      <c r="G15" s="23" t="s">
        <v>4</v>
      </c>
      <c r="H15" s="2"/>
    </row>
    <row r="16" spans="1:8" x14ac:dyDescent="0.25">
      <c r="A16" s="2"/>
      <c r="B16" s="47" t="s">
        <v>154</v>
      </c>
      <c r="C16" s="41">
        <v>2016</v>
      </c>
      <c r="D16" s="28">
        <v>75</v>
      </c>
      <c r="E16" s="27">
        <v>30643320.989999998</v>
      </c>
      <c r="F16" s="12">
        <f t="shared" si="0"/>
        <v>408577.61319999996</v>
      </c>
      <c r="G16" s="23" t="s">
        <v>4</v>
      </c>
      <c r="H16" s="2"/>
    </row>
    <row r="17" spans="1:8" x14ac:dyDescent="0.25">
      <c r="A17" s="2"/>
      <c r="B17" s="47" t="s">
        <v>155</v>
      </c>
      <c r="C17" s="41">
        <v>2016</v>
      </c>
      <c r="D17" s="28">
        <v>75</v>
      </c>
      <c r="E17" s="27">
        <v>70941.16</v>
      </c>
      <c r="F17" s="12">
        <f t="shared" si="0"/>
        <v>945.8821333333334</v>
      </c>
      <c r="G17" s="23" t="s">
        <v>4</v>
      </c>
      <c r="H17" s="2"/>
    </row>
    <row r="18" spans="1:8" x14ac:dyDescent="0.25">
      <c r="A18" s="2"/>
      <c r="B18" s="47" t="s">
        <v>156</v>
      </c>
      <c r="C18" s="41">
        <v>2016</v>
      </c>
      <c r="D18" s="28">
        <v>75</v>
      </c>
      <c r="E18" s="27">
        <v>10836677.970000001</v>
      </c>
      <c r="F18" s="12">
        <f t="shared" si="0"/>
        <v>144489.03960000002</v>
      </c>
      <c r="G18" s="23" t="s">
        <v>4</v>
      </c>
      <c r="H18" s="2"/>
    </row>
    <row r="19" spans="1:8" x14ac:dyDescent="0.25">
      <c r="A19" s="2"/>
      <c r="B19" s="47" t="s">
        <v>154</v>
      </c>
      <c r="C19" s="41">
        <v>2016</v>
      </c>
      <c r="D19" s="28">
        <v>75</v>
      </c>
      <c r="E19" s="27">
        <v>12827356.109999999</v>
      </c>
      <c r="F19" s="12">
        <f t="shared" si="0"/>
        <v>171031.4148</v>
      </c>
      <c r="G19" s="23" t="s">
        <v>4</v>
      </c>
      <c r="H19" s="2"/>
    </row>
    <row r="20" spans="1:8" x14ac:dyDescent="0.25">
      <c r="A20" s="2"/>
      <c r="B20" s="47" t="s">
        <v>157</v>
      </c>
      <c r="C20" s="41">
        <v>2016</v>
      </c>
      <c r="D20" s="28">
        <v>20</v>
      </c>
      <c r="E20" s="27">
        <v>63954</v>
      </c>
      <c r="F20" s="12">
        <f t="shared" si="0"/>
        <v>3197.7</v>
      </c>
      <c r="G20" s="23" t="s">
        <v>4</v>
      </c>
      <c r="H20" s="2"/>
    </row>
    <row r="21" spans="1:8" x14ac:dyDescent="0.25">
      <c r="A21" s="2"/>
      <c r="B21" s="47" t="s">
        <v>158</v>
      </c>
      <c r="C21" s="41">
        <v>2016</v>
      </c>
      <c r="D21" s="28">
        <v>75</v>
      </c>
      <c r="E21" s="27">
        <v>51630856.859999999</v>
      </c>
      <c r="F21" s="12">
        <f t="shared" si="0"/>
        <v>688411.42480000004</v>
      </c>
      <c r="G21" s="23" t="s">
        <v>4</v>
      </c>
      <c r="H21" s="2"/>
    </row>
    <row r="22" spans="1:8" x14ac:dyDescent="0.25">
      <c r="A22" s="2"/>
      <c r="B22" s="47" t="s">
        <v>159</v>
      </c>
      <c r="C22" s="41">
        <v>2016</v>
      </c>
      <c r="D22" s="28">
        <v>75</v>
      </c>
      <c r="E22" s="27">
        <v>7247240.6200000001</v>
      </c>
      <c r="F22" s="12">
        <f t="shared" si="0"/>
        <v>96629.87493333334</v>
      </c>
      <c r="G22" s="23" t="s">
        <v>4</v>
      </c>
      <c r="H22" s="2"/>
    </row>
    <row r="23" spans="1:8" ht="26.25" x14ac:dyDescent="0.25">
      <c r="A23" s="2"/>
      <c r="B23" s="47" t="s">
        <v>160</v>
      </c>
      <c r="C23" s="41">
        <v>2016</v>
      </c>
      <c r="D23" s="28">
        <v>20</v>
      </c>
      <c r="E23" s="27">
        <v>7680757.0899999999</v>
      </c>
      <c r="F23" s="12">
        <f t="shared" si="0"/>
        <v>384037.85450000002</v>
      </c>
      <c r="G23" s="23" t="s">
        <v>4</v>
      </c>
      <c r="H23" s="2"/>
    </row>
    <row r="24" spans="1:8" x14ac:dyDescent="0.25">
      <c r="A24" s="2"/>
      <c r="B24" s="47" t="s">
        <v>154</v>
      </c>
      <c r="C24" s="41">
        <v>2016</v>
      </c>
      <c r="D24" s="28">
        <v>75</v>
      </c>
      <c r="E24" s="27">
        <v>32193.9</v>
      </c>
      <c r="F24" s="12">
        <f t="shared" si="0"/>
        <v>429.25200000000001</v>
      </c>
      <c r="G24" s="23" t="s">
        <v>4</v>
      </c>
      <c r="H24" s="2"/>
    </row>
    <row r="25" spans="1:8" x14ac:dyDescent="0.25">
      <c r="A25" s="2"/>
      <c r="B25" s="47" t="s">
        <v>155</v>
      </c>
      <c r="C25" s="41">
        <v>2016</v>
      </c>
      <c r="D25" s="28">
        <v>75</v>
      </c>
      <c r="E25" s="27">
        <v>1204750.6599999999</v>
      </c>
      <c r="F25" s="12">
        <f t="shared" si="0"/>
        <v>16063.342133333332</v>
      </c>
      <c r="G25" s="23" t="s">
        <v>4</v>
      </c>
      <c r="H25" s="2"/>
    </row>
    <row r="26" spans="1:8" x14ac:dyDescent="0.25">
      <c r="A26" s="2"/>
      <c r="B26" s="47" t="s">
        <v>161</v>
      </c>
      <c r="C26" s="41">
        <v>2016</v>
      </c>
      <c r="D26" s="28">
        <v>75</v>
      </c>
      <c r="E26" s="27">
        <v>8208388.2699999996</v>
      </c>
      <c r="F26" s="12">
        <f t="shared" si="0"/>
        <v>109445.17693333332</v>
      </c>
      <c r="G26" s="23" t="s">
        <v>4</v>
      </c>
      <c r="H26" s="2"/>
    </row>
    <row r="27" spans="1:8" x14ac:dyDescent="0.25">
      <c r="A27" s="2"/>
      <c r="B27" s="47" t="s">
        <v>162</v>
      </c>
      <c r="C27" s="41">
        <v>2016</v>
      </c>
      <c r="D27" s="28">
        <v>75</v>
      </c>
      <c r="E27" s="27">
        <v>596668.65</v>
      </c>
      <c r="F27" s="12">
        <f t="shared" si="0"/>
        <v>7955.5820000000003</v>
      </c>
      <c r="G27" s="23" t="s">
        <v>4</v>
      </c>
      <c r="H27" s="2"/>
    </row>
    <row r="28" spans="1:8" ht="26.25" x14ac:dyDescent="0.25">
      <c r="A28" s="2"/>
      <c r="B28" s="47" t="s">
        <v>163</v>
      </c>
      <c r="C28" s="41">
        <v>2016</v>
      </c>
      <c r="D28" s="28">
        <v>20</v>
      </c>
      <c r="E28" s="27">
        <v>257426.18</v>
      </c>
      <c r="F28" s="12">
        <f t="shared" si="0"/>
        <v>12871.308999999999</v>
      </c>
      <c r="G28" s="23" t="s">
        <v>4</v>
      </c>
      <c r="H28" s="2"/>
    </row>
    <row r="29" spans="1:8" ht="26.25" x14ac:dyDescent="0.25">
      <c r="A29" s="2"/>
      <c r="B29" s="47" t="s">
        <v>164</v>
      </c>
      <c r="C29" s="41">
        <v>2016</v>
      </c>
      <c r="D29" s="28">
        <v>20</v>
      </c>
      <c r="E29" s="27">
        <v>377089.04</v>
      </c>
      <c r="F29" s="12">
        <f t="shared" si="0"/>
        <v>18854.451999999997</v>
      </c>
      <c r="G29" s="23" t="s">
        <v>4</v>
      </c>
      <c r="H29" s="2"/>
    </row>
    <row r="30" spans="1:8" ht="26.25" x14ac:dyDescent="0.25">
      <c r="A30" s="2"/>
      <c r="B30" s="47" t="s">
        <v>165</v>
      </c>
      <c r="C30" s="41">
        <v>2016</v>
      </c>
      <c r="D30" s="28">
        <v>10</v>
      </c>
      <c r="E30" s="27">
        <v>63372.7</v>
      </c>
      <c r="F30" s="12">
        <f t="shared" si="0"/>
        <v>6337.2699999999995</v>
      </c>
      <c r="G30" s="23" t="s">
        <v>4</v>
      </c>
      <c r="H30" s="2"/>
    </row>
    <row r="31" spans="1:8" ht="26.25" x14ac:dyDescent="0.25">
      <c r="A31" s="2"/>
      <c r="B31" s="47" t="s">
        <v>166</v>
      </c>
      <c r="C31" s="41">
        <v>2016</v>
      </c>
      <c r="D31" s="28">
        <v>40</v>
      </c>
      <c r="E31" s="27">
        <v>271901.71000000002</v>
      </c>
      <c r="F31" s="12">
        <f t="shared" si="0"/>
        <v>6797.5427500000005</v>
      </c>
      <c r="G31" s="23" t="s">
        <v>4</v>
      </c>
      <c r="H31" s="2"/>
    </row>
    <row r="32" spans="1:8" x14ac:dyDescent="0.25">
      <c r="A32" s="2"/>
      <c r="B32" s="47" t="s">
        <v>162</v>
      </c>
      <c r="C32" s="41">
        <v>2016</v>
      </c>
      <c r="D32" s="28">
        <v>75</v>
      </c>
      <c r="E32" s="27">
        <v>5902595.1299999999</v>
      </c>
      <c r="F32" s="12">
        <f t="shared" si="0"/>
        <v>78701.268400000001</v>
      </c>
      <c r="G32" s="23" t="s">
        <v>4</v>
      </c>
      <c r="H32" s="2"/>
    </row>
    <row r="33" spans="1:8" x14ac:dyDescent="0.25">
      <c r="A33" s="2"/>
      <c r="B33" s="99" t="s">
        <v>76</v>
      </c>
      <c r="C33" s="100"/>
      <c r="D33" s="100"/>
      <c r="E33" s="101"/>
      <c r="F33" s="21">
        <f>SUM(F10:F32)</f>
        <v>3368341.3308499991</v>
      </c>
      <c r="G33" s="22" t="s">
        <v>4</v>
      </c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</sheetData>
  <sheetProtection password="DFE9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2017-10-13T11:56:43Z</dcterms:modified>
</cp:coreProperties>
</file>