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2" r:id="rId14"/>
  </sheets>
  <calcPr calcId="145621"/>
</workbook>
</file>

<file path=xl/calcChain.xml><?xml version="1.0" encoding="utf-8"?>
<calcChain xmlns="http://schemas.openxmlformats.org/spreadsheetml/2006/main">
  <c r="G10" i="22" l="1"/>
  <c r="E25" i="2" s="1"/>
  <c r="G25" i="2" s="1"/>
  <c r="E17" i="15" l="1"/>
  <c r="G17" i="15" s="1"/>
  <c r="G20" i="15" s="1"/>
  <c r="G38" i="2"/>
  <c r="G13" i="10"/>
  <c r="E12" i="2" l="1"/>
  <c r="G11" i="10" l="1"/>
  <c r="F18" i="20"/>
  <c r="F19" i="20" s="1"/>
  <c r="E16" i="2" s="1"/>
  <c r="G22" i="7"/>
  <c r="E13" i="2" s="1"/>
  <c r="G19" i="19" l="1"/>
  <c r="G20" i="19" s="1"/>
  <c r="E11" i="2" s="1"/>
  <c r="F16" i="11" l="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G13" i="9" s="1"/>
  <c r="G16" i="9" s="1"/>
  <c r="D11" i="20"/>
  <c r="D12" i="20" s="1"/>
  <c r="E14" i="2" s="1"/>
  <c r="E18" i="2"/>
  <c r="E17" i="2"/>
  <c r="G9" i="9" l="1"/>
  <c r="G9" i="8"/>
  <c r="G12" i="8" s="1"/>
  <c r="E10" i="2"/>
  <c r="E10" i="15" s="1"/>
  <c r="G12" i="7"/>
  <c r="E9" i="2" l="1"/>
  <c r="E15" i="13"/>
  <c r="F11" i="11"/>
  <c r="F17" i="11"/>
  <c r="E20" i="2" l="1"/>
  <c r="E19" i="15"/>
  <c r="G19" i="15" s="1"/>
  <c r="E34" i="2" l="1"/>
  <c r="G11" i="9" l="1"/>
  <c r="G12" i="9" s="1"/>
  <c r="E14" i="15" s="1"/>
  <c r="G30" i="13"/>
  <c r="E35" i="13" l="1"/>
  <c r="G35" i="13" s="1"/>
  <c r="E27" i="13"/>
  <c r="E19" i="13"/>
  <c r="G11" i="12"/>
  <c r="E29" i="2" s="1"/>
  <c r="G29" i="12"/>
  <c r="E32" i="2" s="1"/>
  <c r="G23" i="12"/>
  <c r="E31" i="2" s="1"/>
  <c r="G17" i="12"/>
  <c r="E30" i="2" s="1"/>
  <c r="F10" i="11"/>
  <c r="F18" i="11" s="1"/>
  <c r="E27" i="2"/>
  <c r="G27" i="2" s="1"/>
  <c r="G33" i="12" l="1"/>
  <c r="G35" i="12" s="1"/>
  <c r="E33" i="2" s="1"/>
  <c r="E28" i="13"/>
  <c r="G28" i="13" s="1"/>
  <c r="G36" i="13" s="1"/>
  <c r="E37" i="2" s="1"/>
  <c r="G37" i="2" s="1"/>
  <c r="G17" i="9"/>
  <c r="E22" i="2" s="1"/>
  <c r="E35" i="2" l="1"/>
  <c r="G35" i="2" s="1"/>
  <c r="E21" i="2" l="1"/>
  <c r="E23" i="2" s="1"/>
  <c r="G23" i="2" l="1"/>
  <c r="E9" i="15" s="1"/>
  <c r="E13" i="15" l="1"/>
  <c r="E12" i="15"/>
  <c r="E15" i="15" l="1"/>
  <c r="G15" i="15" s="1"/>
</calcChain>
</file>

<file path=xl/sharedStrings.xml><?xml version="1.0" encoding="utf-8"?>
<sst xmlns="http://schemas.openxmlformats.org/spreadsheetml/2006/main" count="386" uniqueCount="196">
  <si>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</si>
  <si>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</si>
  <si>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</si>
  <si>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</si>
  <si>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</si>
  <si>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</si>
  <si>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</si>
  <si>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</si>
  <si>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</si>
  <si>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</si>
  <si>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</si>
  <si>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</si>
  <si>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</si>
  <si>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</si>
  <si>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</si>
  <si>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</si>
  <si>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</si>
  <si>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</si>
  <si>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</si>
  <si>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</si>
  <si>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</si>
  <si>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</si>
  <si>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</si>
  <si>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</si>
  <si>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</si>
  <si>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</si>
  <si>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</si>
  <si>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</si>
  <si>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</si>
  <si>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</si>
  <si>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</si>
  <si>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</si>
  <si>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</si>
  <si>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</si>
  <si>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</si>
  <si>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</si>
  <si>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</si>
  <si>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</si>
  <si>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</si>
  <si>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</si>
  <si>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</si>
  <si>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</si>
  <si>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</si>
  <si>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</si>
  <si>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</si>
  <si>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</si>
  <si>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</si>
  <si>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</si>
  <si>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</si>
  <si>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</si>
  <si>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</si>
  <si>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</si>
  <si>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</si>
  <si>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</si>
  <si>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</si>
  <si>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</si>
  <si>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</si>
  <si>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</si>
  <si>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</si>
  <si>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</si>
  <si>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</si>
  <si>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</si>
  <si>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</si>
  <si>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</si>
  <si>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</si>
  <si>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</si>
  <si>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</si>
  <si>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</si>
  <si>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</si>
  <si>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</si>
  <si>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</si>
  <si>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</si>
  <si>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</si>
  <si>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</si>
  <si>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</si>
  <si>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</si>
  <si>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</si>
  <si>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</si>
  <si>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</si>
  <si>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</si>
  <si>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</si>
  <si>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</si>
  <si>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</si>
  <si>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</si>
  <si>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</si>
  <si>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</si>
  <si>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</si>
  <si>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</si>
  <si>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</si>
  <si>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</si>
  <si>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</si>
  <si>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</si>
  <si>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</si>
  <si>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</si>
  <si>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</si>
  <si>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</si>
  <si>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</si>
  <si>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</si>
  <si>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</si>
  <si>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</si>
  <si>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</si>
  <si>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</si>
  <si>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</si>
  <si>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</si>
  <si>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</si>
  <si>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</si>
  <si>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</si>
  <si>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</si>
  <si>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</si>
  <si>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</si>
  <si>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</si>
  <si>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</si>
  <si>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</si>
  <si>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</si>
  <si>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</si>
  <si>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</si>
  <si>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</si>
  <si>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</si>
  <si>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</si>
  <si>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</si>
  <si>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</si>
  <si>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</si>
  <si>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</si>
  <si>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</si>
  <si>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</si>
  <si>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</si>
  <si>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</si>
  <si>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</si>
  <si>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</si>
  <si>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</si>
  <si>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</si>
  <si>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</si>
  <si>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</si>
  <si>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</si>
  <si>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</si>
  <si>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</si>
  <si>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</si>
  <si>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</si>
  <si>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</si>
  <si>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</si>
  <si>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</si>
  <si>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</si>
  <si>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</si>
  <si>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</si>
  <si>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</si>
  <si>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</si>
  <si>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</si>
  <si>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</si>
  <si>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</si>
  <si>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SRO(Software)</t>
  </si>
  <si>
    <t>Software (Generalt)</t>
  </si>
  <si>
    <t>Strømpeforing Ø 200 mm &lt; Ledningsnet ≤ Ø 500 mm</t>
  </si>
  <si>
    <t>Brønde</t>
  </si>
  <si>
    <t>Strømpeforing Ø 500 mm &lt; Ledningsnet ≤ Ø 800 mm</t>
  </si>
  <si>
    <t>Overbygning</t>
  </si>
  <si>
    <t>Pumpeinstallation Miljøklasse A (300-600 l/s) - Mek/EL</t>
  </si>
  <si>
    <t>Kælder (&lt; 7 m2)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</si>
  <si>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</si>
  <si>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</si>
  <si>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</si>
  <si>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</si>
  <si>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</si>
  <si>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</si>
  <si>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</si>
  <si>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</si>
  <si>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</si>
  <si>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</si>
  <si>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</si>
  <si>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</si>
  <si>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</si>
  <si>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</si>
  <si>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</si>
  <si>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</si>
  <si>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</si>
  <si>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</si>
  <si>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</si>
  <si>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</si>
  <si>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</si>
  <si>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</si>
  <si>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</si>
  <si>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</si>
  <si>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</si>
  <si>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</si>
  <si>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</si>
  <si>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</si>
  <si>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</si>
  <si>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</si>
  <si>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</si>
  <si>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</si>
  <si>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</si>
  <si>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</si>
  <si>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Tillæg i alt</t>
  </si>
  <si>
    <t>Medfinansiering af klimatilpasningsprojekter efter gl. regulering</t>
  </si>
  <si>
    <t>Tillæg til medfinansiering af klimatilpasningsprojekter</t>
  </si>
  <si>
    <t>Fane 13</t>
  </si>
  <si>
    <t>Område, 1, 4, 5 og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</si>
</sst>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3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0" fillId="2" borderId="0" xfId="0" applyFill="1"/>
    <xf numFmtId="0" fontId="8" fillId="10" borderId="1" xfId="0" applyFont="1" applyFill="1" applyBorder="1"/>
    <xf numFmtId="3" fontId="7" fillId="3" borderId="1" xfId="0" applyNumberFormat="1" applyFont="1" applyFill="1" applyBorder="1"/>
    <xf numFmtId="0" fontId="7" fillId="3" borderId="1" xfId="0" applyFont="1" applyFill="1" applyBorder="1"/>
    <xf numFmtId="0" fontId="9" fillId="2" borderId="0" xfId="0" applyFont="1" applyFill="1"/>
    <xf numFmtId="0" fontId="0" fillId="10" borderId="0" xfId="0" applyFill="1"/>
    <xf numFmtId="0" fontId="3" fillId="2" borderId="0" xfId="0" applyFont="1" applyFill="1" applyBorder="1" applyAlignment="1" applyProtection="1">
      <alignment vertical="center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3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80" t="s">
        <v>5</v>
      </c>
      <c r="E6" s="80"/>
      <c r="F6" s="80"/>
      <c r="G6" s="80"/>
      <c r="H6" s="4"/>
      <c r="I6" s="2"/>
    </row>
    <row r="7" spans="1:9" ht="15" customHeight="1" x14ac:dyDescent="0.25">
      <c r="A7" s="2"/>
      <c r="B7" s="2"/>
      <c r="C7" s="4"/>
      <c r="D7" s="80"/>
      <c r="E7" s="80"/>
      <c r="F7" s="80"/>
      <c r="G7" s="80"/>
      <c r="H7" s="4"/>
      <c r="I7" s="2"/>
    </row>
    <row r="8" spans="1:9" ht="15.75" x14ac:dyDescent="0.25">
      <c r="A8" s="2"/>
      <c r="B8" s="2"/>
      <c r="C8" s="5"/>
      <c r="D8" s="85" t="s">
        <v>124</v>
      </c>
      <c r="E8" s="85"/>
      <c r="F8" s="85"/>
      <c r="G8" s="8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84" t="s">
        <v>6</v>
      </c>
      <c r="E11" s="84"/>
      <c r="F11" s="84"/>
      <c r="G11" s="8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7" t="s">
        <v>69</v>
      </c>
      <c r="E13" s="78"/>
      <c r="F13" s="78"/>
      <c r="G13" s="79"/>
      <c r="H13" s="2"/>
      <c r="I13" s="2"/>
    </row>
    <row r="14" spans="1:9" x14ac:dyDescent="0.25">
      <c r="A14" s="2"/>
      <c r="B14" s="2"/>
      <c r="C14" s="7" t="s">
        <v>68</v>
      </c>
      <c r="D14" s="77" t="s">
        <v>70</v>
      </c>
      <c r="E14" s="78"/>
      <c r="F14" s="78"/>
      <c r="G14" s="79"/>
      <c r="H14" s="2"/>
      <c r="I14" s="2"/>
    </row>
    <row r="15" spans="1:9" x14ac:dyDescent="0.25">
      <c r="A15" s="2"/>
      <c r="B15" s="2"/>
      <c r="C15" s="7" t="s">
        <v>8</v>
      </c>
      <c r="D15" s="86" t="s">
        <v>63</v>
      </c>
      <c r="E15" s="87"/>
      <c r="F15" s="87"/>
      <c r="G15" s="88"/>
      <c r="H15" s="2"/>
      <c r="I15" s="2"/>
    </row>
    <row r="16" spans="1:9" x14ac:dyDescent="0.25">
      <c r="A16" s="2"/>
      <c r="B16" s="2"/>
      <c r="C16" s="7" t="s">
        <v>9</v>
      </c>
      <c r="D16" s="86" t="s">
        <v>49</v>
      </c>
      <c r="E16" s="87"/>
      <c r="F16" s="87"/>
      <c r="G16" s="88"/>
      <c r="H16" s="2"/>
      <c r="I16" s="2"/>
    </row>
    <row r="17" spans="1:9" x14ac:dyDescent="0.25">
      <c r="A17" s="2"/>
      <c r="B17" s="2"/>
      <c r="C17" s="7" t="s">
        <v>10</v>
      </c>
      <c r="D17" s="89" t="s">
        <v>15</v>
      </c>
      <c r="E17" s="90"/>
      <c r="F17" s="90"/>
      <c r="G17" s="91"/>
      <c r="H17" s="2"/>
      <c r="I17" s="2"/>
    </row>
    <row r="18" spans="1:9" x14ac:dyDescent="0.25">
      <c r="A18" s="2"/>
      <c r="B18" s="2"/>
      <c r="C18" s="7" t="s">
        <v>11</v>
      </c>
      <c r="D18" s="89" t="s">
        <v>16</v>
      </c>
      <c r="E18" s="90"/>
      <c r="F18" s="90"/>
      <c r="G18" s="91"/>
      <c r="H18" s="2"/>
      <c r="I18" s="2"/>
    </row>
    <row r="19" spans="1:9" x14ac:dyDescent="0.25">
      <c r="A19" s="2"/>
      <c r="B19" s="2"/>
      <c r="C19" s="7" t="s">
        <v>12</v>
      </c>
      <c r="D19" s="92" t="s">
        <v>17</v>
      </c>
      <c r="E19" s="93"/>
      <c r="F19" s="93"/>
      <c r="G19" s="94"/>
      <c r="H19" s="2"/>
      <c r="I19" s="2"/>
    </row>
    <row r="20" spans="1:9" x14ac:dyDescent="0.25">
      <c r="A20" s="2"/>
      <c r="B20" s="2"/>
      <c r="C20" s="7" t="s">
        <v>13</v>
      </c>
      <c r="D20" s="81" t="s">
        <v>75</v>
      </c>
      <c r="E20" s="82"/>
      <c r="F20" s="82"/>
      <c r="G20" s="83"/>
      <c r="H20" s="2"/>
      <c r="I20" s="2"/>
    </row>
    <row r="21" spans="1:9" x14ac:dyDescent="0.25">
      <c r="A21" s="2"/>
      <c r="B21" s="2"/>
      <c r="C21" s="7" t="s">
        <v>14</v>
      </c>
      <c r="D21" s="81" t="s">
        <v>100</v>
      </c>
      <c r="E21" s="82"/>
      <c r="F21" s="82"/>
      <c r="G21" s="83"/>
      <c r="H21" s="2"/>
      <c r="I21" s="2"/>
    </row>
    <row r="22" spans="1:9" x14ac:dyDescent="0.25">
      <c r="A22" s="2"/>
      <c r="B22" s="2"/>
      <c r="C22" s="7" t="s">
        <v>59</v>
      </c>
      <c r="D22" s="71" t="s">
        <v>144</v>
      </c>
      <c r="E22" s="72"/>
      <c r="F22" s="72"/>
      <c r="G22" s="73"/>
      <c r="H22" s="2"/>
      <c r="I22" s="2"/>
    </row>
    <row r="23" spans="1:9" x14ac:dyDescent="0.25">
      <c r="A23" s="2"/>
      <c r="B23" s="2"/>
      <c r="C23" s="7" t="s">
        <v>66</v>
      </c>
      <c r="D23" s="74" t="s">
        <v>65</v>
      </c>
      <c r="E23" s="75"/>
      <c r="F23" s="75"/>
      <c r="G23" s="76"/>
      <c r="H23" s="2"/>
      <c r="I23" s="2"/>
    </row>
    <row r="24" spans="1:9" x14ac:dyDescent="0.25">
      <c r="A24" s="2"/>
      <c r="B24" s="2"/>
      <c r="C24" s="7" t="s">
        <v>67</v>
      </c>
      <c r="D24" s="74" t="s">
        <v>64</v>
      </c>
      <c r="E24" s="75"/>
      <c r="F24" s="75"/>
      <c r="G24" s="76"/>
      <c r="H24" s="2"/>
      <c r="I24" s="2"/>
    </row>
    <row r="25" spans="1:9" ht="33" customHeight="1" x14ac:dyDescent="0.25">
      <c r="A25" s="2"/>
      <c r="B25" s="2"/>
      <c r="C25" s="67" t="s">
        <v>194</v>
      </c>
      <c r="D25" s="68" t="s">
        <v>192</v>
      </c>
      <c r="E25" s="69"/>
      <c r="F25" s="69"/>
      <c r="G25" s="70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17" t="s">
        <v>77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14" t="s">
        <v>177</v>
      </c>
      <c r="C8" s="115"/>
      <c r="D8" s="115"/>
      <c r="E8" s="115"/>
      <c r="F8" s="115"/>
      <c r="G8" s="115"/>
      <c r="H8" s="116"/>
      <c r="I8" s="2"/>
    </row>
    <row r="9" spans="1:9" x14ac:dyDescent="0.25">
      <c r="A9" s="2"/>
      <c r="B9" s="99" t="s">
        <v>80</v>
      </c>
      <c r="C9" s="100"/>
      <c r="D9" s="100"/>
      <c r="E9" s="100"/>
      <c r="F9" s="101"/>
      <c r="G9" s="27">
        <v>14970026</v>
      </c>
      <c r="H9" s="23" t="s">
        <v>4</v>
      </c>
      <c r="I9" s="2"/>
    </row>
    <row r="10" spans="1:9" x14ac:dyDescent="0.25">
      <c r="A10" s="2"/>
      <c r="B10" s="99" t="s">
        <v>81</v>
      </c>
      <c r="C10" s="100"/>
      <c r="D10" s="100"/>
      <c r="E10" s="100"/>
      <c r="F10" s="101"/>
      <c r="G10" s="27">
        <v>13085000</v>
      </c>
      <c r="H10" s="23" t="s">
        <v>4</v>
      </c>
      <c r="I10" s="2"/>
    </row>
    <row r="11" spans="1:9" x14ac:dyDescent="0.25">
      <c r="A11" s="2"/>
      <c r="B11" s="109" t="s">
        <v>178</v>
      </c>
      <c r="C11" s="110"/>
      <c r="D11" s="110"/>
      <c r="E11" s="110"/>
      <c r="F11" s="111"/>
      <c r="G11" s="21">
        <f>G9-G10</f>
        <v>1885026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14" t="s">
        <v>179</v>
      </c>
      <c r="C14" s="115"/>
      <c r="D14" s="115"/>
      <c r="E14" s="115"/>
      <c r="F14" s="115"/>
      <c r="G14" s="115"/>
      <c r="H14" s="116"/>
      <c r="I14" s="2"/>
    </row>
    <row r="15" spans="1:9" x14ac:dyDescent="0.25">
      <c r="A15" s="2"/>
      <c r="B15" s="99" t="s">
        <v>82</v>
      </c>
      <c r="C15" s="100"/>
      <c r="D15" s="100"/>
      <c r="E15" s="100"/>
      <c r="F15" s="101"/>
      <c r="G15" s="27">
        <v>173874</v>
      </c>
      <c r="H15" s="23" t="s">
        <v>4</v>
      </c>
      <c r="I15" s="2"/>
    </row>
    <row r="16" spans="1:9" x14ac:dyDescent="0.25">
      <c r="A16" s="2"/>
      <c r="B16" s="99" t="s">
        <v>83</v>
      </c>
      <c r="C16" s="100"/>
      <c r="D16" s="100"/>
      <c r="E16" s="100"/>
      <c r="F16" s="101"/>
      <c r="G16" s="27">
        <v>-19627</v>
      </c>
      <c r="H16" s="23" t="s">
        <v>4</v>
      </c>
      <c r="I16" s="2"/>
    </row>
    <row r="17" spans="1:9" x14ac:dyDescent="0.25">
      <c r="A17" s="2"/>
      <c r="B17" s="109" t="s">
        <v>179</v>
      </c>
      <c r="C17" s="110"/>
      <c r="D17" s="110"/>
      <c r="E17" s="110"/>
      <c r="F17" s="111"/>
      <c r="G17" s="21">
        <f>G15-G16</f>
        <v>193501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14" t="s">
        <v>180</v>
      </c>
      <c r="C20" s="115"/>
      <c r="D20" s="115"/>
      <c r="E20" s="115"/>
      <c r="F20" s="115"/>
      <c r="G20" s="115"/>
      <c r="H20" s="116"/>
      <c r="I20" s="2"/>
    </row>
    <row r="21" spans="1:9" x14ac:dyDescent="0.25">
      <c r="A21" s="2"/>
      <c r="B21" s="99" t="s">
        <v>84</v>
      </c>
      <c r="C21" s="100"/>
      <c r="D21" s="100"/>
      <c r="E21" s="100"/>
      <c r="F21" s="101"/>
      <c r="G21" s="27">
        <v>155291</v>
      </c>
      <c r="H21" s="23" t="s">
        <v>4</v>
      </c>
      <c r="I21" s="2"/>
    </row>
    <row r="22" spans="1:9" x14ac:dyDescent="0.25">
      <c r="A22" s="2"/>
      <c r="B22" s="99" t="s">
        <v>85</v>
      </c>
      <c r="C22" s="100"/>
      <c r="D22" s="100"/>
      <c r="E22" s="100"/>
      <c r="F22" s="101"/>
      <c r="G22" s="27">
        <v>200000</v>
      </c>
      <c r="H22" s="23" t="s">
        <v>4</v>
      </c>
      <c r="I22" s="2"/>
    </row>
    <row r="23" spans="1:9" x14ac:dyDescent="0.25">
      <c r="A23" s="2"/>
      <c r="B23" s="109" t="s">
        <v>180</v>
      </c>
      <c r="C23" s="110"/>
      <c r="D23" s="110"/>
      <c r="E23" s="110"/>
      <c r="F23" s="111"/>
      <c r="G23" s="21">
        <f>G21-G22</f>
        <v>-44709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14" t="s">
        <v>181</v>
      </c>
      <c r="C26" s="115"/>
      <c r="D26" s="115"/>
      <c r="E26" s="115"/>
      <c r="F26" s="115"/>
      <c r="G26" s="115"/>
      <c r="H26" s="116"/>
      <c r="I26" s="2"/>
    </row>
    <row r="27" spans="1:9" ht="29.25" customHeight="1" x14ac:dyDescent="0.25">
      <c r="A27" s="2"/>
      <c r="B27" s="96" t="s">
        <v>86</v>
      </c>
      <c r="C27" s="97"/>
      <c r="D27" s="97"/>
      <c r="E27" s="97"/>
      <c r="F27" s="98"/>
      <c r="G27" s="27">
        <v>136341</v>
      </c>
      <c r="H27" s="23" t="s">
        <v>4</v>
      </c>
      <c r="I27" s="2"/>
    </row>
    <row r="28" spans="1:9" x14ac:dyDescent="0.25">
      <c r="A28" s="2"/>
      <c r="B28" s="99" t="s">
        <v>87</v>
      </c>
      <c r="C28" s="100"/>
      <c r="D28" s="100"/>
      <c r="E28" s="100"/>
      <c r="F28" s="101"/>
      <c r="G28" s="27">
        <v>595013</v>
      </c>
      <c r="H28" s="23" t="s">
        <v>4</v>
      </c>
      <c r="I28" s="2"/>
    </row>
    <row r="29" spans="1:9" ht="15" customHeight="1" x14ac:dyDescent="0.25">
      <c r="A29" s="2"/>
      <c r="B29" s="114" t="s">
        <v>181</v>
      </c>
      <c r="C29" s="115"/>
      <c r="D29" s="115"/>
      <c r="E29" s="115"/>
      <c r="F29" s="116"/>
      <c r="G29" s="21">
        <f>G27-G28</f>
        <v>-458672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14" t="s">
        <v>88</v>
      </c>
      <c r="C32" s="115"/>
      <c r="D32" s="115"/>
      <c r="E32" s="115"/>
      <c r="F32" s="115"/>
      <c r="G32" s="115"/>
      <c r="H32" s="116"/>
      <c r="I32" s="2"/>
    </row>
    <row r="33" spans="1:9" x14ac:dyDescent="0.25">
      <c r="A33" s="2"/>
      <c r="B33" s="99" t="s">
        <v>89</v>
      </c>
      <c r="C33" s="100"/>
      <c r="D33" s="100"/>
      <c r="E33" s="100"/>
      <c r="F33" s="101"/>
      <c r="G33" s="12">
        <f>'Fane 8. Gen. inv. i 2016'!F18</f>
        <v>276607.94693333335</v>
      </c>
      <c r="H33" s="23" t="s">
        <v>4</v>
      </c>
      <c r="I33" s="2"/>
    </row>
    <row r="34" spans="1:9" x14ac:dyDescent="0.25">
      <c r="A34" s="2"/>
      <c r="B34" s="99" t="s">
        <v>90</v>
      </c>
      <c r="C34" s="100"/>
      <c r="D34" s="100"/>
      <c r="E34" s="100"/>
      <c r="F34" s="101"/>
      <c r="G34" s="27">
        <v>235630</v>
      </c>
      <c r="H34" s="23" t="s">
        <v>4</v>
      </c>
      <c r="I34" s="2"/>
    </row>
    <row r="35" spans="1:9" x14ac:dyDescent="0.25">
      <c r="A35" s="2"/>
      <c r="B35" s="109" t="s">
        <v>88</v>
      </c>
      <c r="C35" s="110"/>
      <c r="D35" s="110"/>
      <c r="E35" s="110"/>
      <c r="F35" s="111"/>
      <c r="G35" s="21">
        <f>G33-G34</f>
        <v>40977.946933333355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109" t="s">
        <v>182</v>
      </c>
      <c r="C38" s="110"/>
      <c r="D38" s="110"/>
      <c r="E38" s="110"/>
      <c r="F38" s="110"/>
      <c r="G38" s="110"/>
      <c r="H38" s="111"/>
      <c r="I38" s="2"/>
    </row>
    <row r="39" spans="1:9" x14ac:dyDescent="0.25">
      <c r="A39" s="2"/>
      <c r="B39" s="99" t="s">
        <v>146</v>
      </c>
      <c r="C39" s="100"/>
      <c r="D39" s="100"/>
      <c r="E39" s="100"/>
      <c r="F39" s="101"/>
      <c r="G39" s="27">
        <v>3351070</v>
      </c>
      <c r="H39" s="23" t="s">
        <v>4</v>
      </c>
      <c r="I39" s="2"/>
    </row>
    <row r="40" spans="1:9" x14ac:dyDescent="0.25">
      <c r="A40" s="2"/>
      <c r="B40" s="99" t="s">
        <v>79</v>
      </c>
      <c r="C40" s="100"/>
      <c r="D40" s="100"/>
      <c r="E40" s="100"/>
      <c r="F40" s="101"/>
      <c r="G40" s="27">
        <v>3591592.8156705596</v>
      </c>
      <c r="H40" s="23" t="s">
        <v>4</v>
      </c>
      <c r="I40" s="2"/>
    </row>
    <row r="41" spans="1:9" x14ac:dyDescent="0.25">
      <c r="A41" s="2"/>
      <c r="B41" s="109" t="s">
        <v>182</v>
      </c>
      <c r="C41" s="110"/>
      <c r="D41" s="110"/>
      <c r="E41" s="110"/>
      <c r="F41" s="111"/>
      <c r="G41" s="21">
        <f>G39-G40</f>
        <v>-240522.81567055965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17" t="s">
        <v>91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92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106" t="s">
        <v>93</v>
      </c>
      <c r="C9" s="107"/>
      <c r="D9" s="107"/>
      <c r="E9" s="107"/>
      <c r="F9" s="108"/>
      <c r="G9" s="26">
        <v>29479952.266797192</v>
      </c>
      <c r="H9" s="38" t="s">
        <v>4</v>
      </c>
      <c r="I9" s="2"/>
    </row>
    <row r="10" spans="1:9" x14ac:dyDescent="0.25">
      <c r="A10" s="2"/>
      <c r="B10" s="109" t="s">
        <v>94</v>
      </c>
      <c r="C10" s="110"/>
      <c r="D10" s="110"/>
      <c r="E10" s="110"/>
      <c r="F10" s="110"/>
      <c r="G10" s="110"/>
      <c r="H10" s="111"/>
      <c r="I10" s="2"/>
    </row>
    <row r="11" spans="1:9" x14ac:dyDescent="0.25">
      <c r="A11" s="2"/>
      <c r="B11" s="99" t="s">
        <v>19</v>
      </c>
      <c r="C11" s="100"/>
      <c r="D11" s="101"/>
      <c r="E11" s="27">
        <v>10985839</v>
      </c>
      <c r="F11" s="23" t="s">
        <v>4</v>
      </c>
      <c r="G11" s="20"/>
      <c r="H11" s="42"/>
      <c r="I11" s="2"/>
    </row>
    <row r="12" spans="1:9" x14ac:dyDescent="0.25">
      <c r="A12" s="2"/>
      <c r="B12" s="99" t="s">
        <v>95</v>
      </c>
      <c r="C12" s="100"/>
      <c r="D12" s="101"/>
      <c r="E12" s="27">
        <v>1430996</v>
      </c>
      <c r="F12" s="23" t="s">
        <v>4</v>
      </c>
      <c r="G12" s="15"/>
      <c r="H12" s="43"/>
      <c r="I12" s="2"/>
    </row>
    <row r="13" spans="1:9" x14ac:dyDescent="0.25">
      <c r="A13" s="2"/>
      <c r="B13" s="99" t="s">
        <v>96</v>
      </c>
      <c r="C13" s="100"/>
      <c r="D13" s="101"/>
      <c r="E13" s="27">
        <v>-166600</v>
      </c>
      <c r="F13" s="23" t="s">
        <v>4</v>
      </c>
      <c r="G13" s="15"/>
      <c r="H13" s="43"/>
      <c r="I13" s="2"/>
    </row>
    <row r="14" spans="1:9" x14ac:dyDescent="0.25">
      <c r="A14" s="2"/>
      <c r="B14" s="99" t="s">
        <v>97</v>
      </c>
      <c r="C14" s="100"/>
      <c r="D14" s="101"/>
      <c r="E14" s="27">
        <v>897066</v>
      </c>
      <c r="F14" s="23" t="s">
        <v>4</v>
      </c>
      <c r="G14" s="15"/>
      <c r="H14" s="43"/>
      <c r="I14" s="2"/>
    </row>
    <row r="15" spans="1:9" x14ac:dyDescent="0.25">
      <c r="A15" s="2"/>
      <c r="B15" s="106" t="s">
        <v>20</v>
      </c>
      <c r="C15" s="107"/>
      <c r="D15" s="108"/>
      <c r="E15" s="18">
        <f>SUM(E11:E14)</f>
        <v>13147301</v>
      </c>
      <c r="F15" s="38" t="s">
        <v>4</v>
      </c>
      <c r="G15" s="15"/>
      <c r="H15" s="43"/>
      <c r="I15" s="2"/>
    </row>
    <row r="16" spans="1:9" x14ac:dyDescent="0.25">
      <c r="A16" s="2"/>
      <c r="B16" s="99" t="s">
        <v>21</v>
      </c>
      <c r="C16" s="100"/>
      <c r="D16" s="101"/>
      <c r="E16" s="27">
        <v>247478</v>
      </c>
      <c r="F16" s="23" t="s">
        <v>4</v>
      </c>
      <c r="G16" s="15"/>
      <c r="H16" s="43"/>
      <c r="I16" s="2"/>
    </row>
    <row r="17" spans="1:9" x14ac:dyDescent="0.25">
      <c r="A17" s="2"/>
      <c r="B17" s="99" t="s">
        <v>22</v>
      </c>
      <c r="C17" s="100"/>
      <c r="D17" s="10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9" t="s">
        <v>23</v>
      </c>
      <c r="C18" s="100"/>
      <c r="D18" s="10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6" t="s">
        <v>24</v>
      </c>
      <c r="C19" s="107"/>
      <c r="D19" s="108"/>
      <c r="E19" s="18">
        <f>SUM(E16:E18)</f>
        <v>247478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6" t="s">
        <v>25</v>
      </c>
      <c r="C20" s="97"/>
      <c r="D20" s="98"/>
      <c r="E20" s="27">
        <v>-3739934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6" t="s">
        <v>26</v>
      </c>
      <c r="C21" s="97"/>
      <c r="D21" s="98"/>
      <c r="E21" s="27">
        <v>-9597514</v>
      </c>
      <c r="F21" s="23" t="s">
        <v>4</v>
      </c>
      <c r="G21" s="15"/>
      <c r="H21" s="43"/>
      <c r="I21" s="2"/>
    </row>
    <row r="22" spans="1:9" x14ac:dyDescent="0.25">
      <c r="A22" s="2"/>
      <c r="B22" s="99" t="s">
        <v>27</v>
      </c>
      <c r="C22" s="100"/>
      <c r="D22" s="10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9" t="s">
        <v>28</v>
      </c>
      <c r="C23" s="100"/>
      <c r="D23" s="10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6" t="s">
        <v>29</v>
      </c>
      <c r="C24" s="97"/>
      <c r="D24" s="9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6" t="s">
        <v>30</v>
      </c>
      <c r="C25" s="97"/>
      <c r="D25" s="9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6" t="s">
        <v>31</v>
      </c>
      <c r="C26" s="97"/>
      <c r="D26" s="98"/>
      <c r="E26" s="27">
        <v>-57330</v>
      </c>
      <c r="F26" s="23" t="s">
        <v>4</v>
      </c>
      <c r="G26" s="15"/>
      <c r="H26" s="43"/>
      <c r="I26" s="2"/>
    </row>
    <row r="27" spans="1:9" x14ac:dyDescent="0.25">
      <c r="A27" s="2"/>
      <c r="B27" s="106" t="s">
        <v>32</v>
      </c>
      <c r="C27" s="107"/>
      <c r="D27" s="108"/>
      <c r="E27" s="18">
        <f>SUM(E20:E26)</f>
        <v>-13394778</v>
      </c>
      <c r="F27" s="38" t="s">
        <v>4</v>
      </c>
      <c r="G27" s="16"/>
      <c r="H27" s="44"/>
      <c r="I27" s="2"/>
    </row>
    <row r="28" spans="1:9" x14ac:dyDescent="0.25">
      <c r="A28" s="2"/>
      <c r="B28" s="106" t="s">
        <v>33</v>
      </c>
      <c r="C28" s="107"/>
      <c r="D28" s="108"/>
      <c r="E28" s="18">
        <f>E15+E19+E27</f>
        <v>1</v>
      </c>
      <c r="F28" s="38" t="s">
        <v>4</v>
      </c>
      <c r="G28" s="1">
        <f>IF(E28&lt;0,0,-E28)</f>
        <v>-1</v>
      </c>
      <c r="H28" s="38" t="s">
        <v>4</v>
      </c>
      <c r="I28" s="2"/>
    </row>
    <row r="29" spans="1:9" x14ac:dyDescent="0.25">
      <c r="A29" s="2"/>
      <c r="B29" s="109" t="s">
        <v>98</v>
      </c>
      <c r="C29" s="110"/>
      <c r="D29" s="110"/>
      <c r="E29" s="110"/>
      <c r="F29" s="110"/>
      <c r="G29" s="110"/>
      <c r="H29" s="111"/>
      <c r="I29" s="2"/>
    </row>
    <row r="30" spans="1:9" x14ac:dyDescent="0.25">
      <c r="A30" s="2"/>
      <c r="B30" s="106" t="s">
        <v>98</v>
      </c>
      <c r="C30" s="107"/>
      <c r="D30" s="108"/>
      <c r="E30" s="26">
        <v>225294.26679719239</v>
      </c>
      <c r="F30" s="38" t="s">
        <v>4</v>
      </c>
      <c r="G30" s="18">
        <f>-$E$30</f>
        <v>-225294.26679719239</v>
      </c>
      <c r="H30" s="38" t="s">
        <v>4</v>
      </c>
      <c r="I30" s="2"/>
    </row>
    <row r="31" spans="1:9" x14ac:dyDescent="0.25">
      <c r="A31" s="2"/>
      <c r="B31" s="128" t="s">
        <v>57</v>
      </c>
      <c r="C31" s="110"/>
      <c r="D31" s="110"/>
      <c r="E31" s="110"/>
      <c r="F31" s="110"/>
      <c r="G31" s="110"/>
      <c r="H31" s="111"/>
      <c r="I31" s="2"/>
    </row>
    <row r="32" spans="1:9" ht="30" customHeight="1" x14ac:dyDescent="0.25">
      <c r="A32" s="2"/>
      <c r="B32" s="96" t="s">
        <v>58</v>
      </c>
      <c r="C32" s="97"/>
      <c r="D32" s="98"/>
      <c r="E32" s="27">
        <v>28586915</v>
      </c>
      <c r="F32" s="23" t="s">
        <v>4</v>
      </c>
      <c r="G32" s="20"/>
      <c r="H32" s="42"/>
      <c r="I32" s="2"/>
    </row>
    <row r="33" spans="1:9" x14ac:dyDescent="0.25">
      <c r="A33" s="2"/>
      <c r="B33" s="99" t="s">
        <v>34</v>
      </c>
      <c r="C33" s="100"/>
      <c r="D33" s="10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6" t="s">
        <v>35</v>
      </c>
      <c r="C34" s="97"/>
      <c r="D34" s="98"/>
      <c r="E34" s="27">
        <v>667742</v>
      </c>
      <c r="F34" s="23" t="s">
        <v>4</v>
      </c>
      <c r="G34" s="16"/>
      <c r="H34" s="44"/>
      <c r="I34" s="2"/>
    </row>
    <row r="35" spans="1:9" x14ac:dyDescent="0.25">
      <c r="A35" s="2"/>
      <c r="B35" s="106" t="s">
        <v>36</v>
      </c>
      <c r="C35" s="107"/>
      <c r="D35" s="108"/>
      <c r="E35" s="18">
        <f>SUM(E32:E34)</f>
        <v>29254657</v>
      </c>
      <c r="F35" s="38" t="s">
        <v>4</v>
      </c>
      <c r="G35" s="18">
        <f>-E35</f>
        <v>-29254657</v>
      </c>
      <c r="H35" s="38" t="s">
        <v>4</v>
      </c>
      <c r="I35" s="2"/>
    </row>
    <row r="36" spans="1:9" x14ac:dyDescent="0.25">
      <c r="A36" s="2"/>
      <c r="B36" s="109" t="s">
        <v>99</v>
      </c>
      <c r="C36" s="110"/>
      <c r="D36" s="110"/>
      <c r="E36" s="110"/>
      <c r="F36" s="111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128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9" t="s">
        <v>174</v>
      </c>
      <c r="C8" s="110"/>
      <c r="D8" s="110"/>
      <c r="E8" s="110"/>
      <c r="F8" s="110"/>
      <c r="G8" s="111"/>
      <c r="H8" s="2"/>
    </row>
    <row r="9" spans="1:8" ht="29.25" customHeight="1" x14ac:dyDescent="0.25">
      <c r="A9" s="2"/>
      <c r="B9" s="102" t="s">
        <v>118</v>
      </c>
      <c r="C9" s="104"/>
      <c r="D9" s="127" t="s">
        <v>47</v>
      </c>
      <c r="E9" s="127"/>
      <c r="F9" s="127" t="s">
        <v>129</v>
      </c>
      <c r="G9" s="127"/>
      <c r="H9" s="2"/>
    </row>
    <row r="10" spans="1:8" x14ac:dyDescent="0.25">
      <c r="A10" s="2"/>
      <c r="B10" s="129" t="s">
        <v>175</v>
      </c>
      <c r="C10" s="13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9" t="s">
        <v>135</v>
      </c>
      <c r="C11" s="11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109" t="s">
        <v>148</v>
      </c>
      <c r="C12" s="11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109" t="s">
        <v>170</v>
      </c>
      <c r="C15" s="110"/>
      <c r="D15" s="110"/>
      <c r="E15" s="110"/>
      <c r="F15" s="110"/>
      <c r="G15" s="111"/>
      <c r="H15" s="2"/>
    </row>
    <row r="16" spans="1:8" ht="15" customHeight="1" x14ac:dyDescent="0.25">
      <c r="A16" s="2"/>
      <c r="B16" s="102" t="s">
        <v>188</v>
      </c>
      <c r="C16" s="103"/>
      <c r="D16" s="103"/>
      <c r="E16" s="104"/>
      <c r="F16" s="127" t="s">
        <v>171</v>
      </c>
      <c r="G16" s="127"/>
      <c r="H16" s="2"/>
    </row>
    <row r="17" spans="1:8" x14ac:dyDescent="0.25">
      <c r="A17" s="2"/>
      <c r="B17" s="99" t="s">
        <v>184</v>
      </c>
      <c r="C17" s="100"/>
      <c r="D17" s="100"/>
      <c r="E17" s="101"/>
      <c r="F17" s="27">
        <v>0</v>
      </c>
      <c r="G17" s="23" t="s">
        <v>4</v>
      </c>
      <c r="H17" s="2"/>
    </row>
    <row r="18" spans="1:8" x14ac:dyDescent="0.25">
      <c r="A18" s="2"/>
      <c r="B18" s="109" t="s">
        <v>172</v>
      </c>
      <c r="C18" s="110"/>
      <c r="D18" s="110"/>
      <c r="E18" s="111"/>
      <c r="F18" s="21">
        <f>SUM(F17:F17)</f>
        <v>0</v>
      </c>
      <c r="G18" s="22" t="s">
        <v>4</v>
      </c>
      <c r="H18" s="2"/>
    </row>
    <row r="19" spans="1:8" x14ac:dyDescent="0.25">
      <c r="A19" s="2"/>
      <c r="B19" s="109" t="s">
        <v>173</v>
      </c>
      <c r="C19" s="110"/>
      <c r="D19" s="110"/>
      <c r="E19" s="11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7" t="s">
        <v>120</v>
      </c>
      <c r="C3" s="117"/>
      <c r="D3" s="117"/>
      <c r="E3" s="117"/>
      <c r="F3" s="117"/>
      <c r="G3" s="117"/>
      <c r="H3" s="2"/>
    </row>
    <row r="4" spans="1:8" ht="25.5" customHeight="1" x14ac:dyDescent="0.25">
      <c r="A4" s="2"/>
      <c r="B4" s="117"/>
      <c r="C4" s="117"/>
      <c r="D4" s="117"/>
      <c r="E4" s="117"/>
      <c r="F4" s="117"/>
      <c r="G4" s="11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9" t="s">
        <v>119</v>
      </c>
      <c r="C8" s="110"/>
      <c r="D8" s="110"/>
      <c r="E8" s="110"/>
      <c r="F8" s="110"/>
      <c r="G8" s="111"/>
      <c r="H8" s="2"/>
    </row>
    <row r="9" spans="1:8" ht="29.25" customHeight="1" x14ac:dyDescent="0.25">
      <c r="A9" s="2"/>
      <c r="B9" s="45" t="s">
        <v>121</v>
      </c>
      <c r="C9" s="46"/>
      <c r="D9" s="127" t="s">
        <v>47</v>
      </c>
      <c r="E9" s="127"/>
      <c r="F9" s="127" t="s">
        <v>129</v>
      </c>
      <c r="G9" s="127"/>
      <c r="H9" s="2"/>
    </row>
    <row r="10" spans="1:8" x14ac:dyDescent="0.25">
      <c r="A10" s="2"/>
      <c r="B10" s="35" t="s">
        <v>183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9" t="s">
        <v>130</v>
      </c>
      <c r="C11" s="11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109" t="s">
        <v>147</v>
      </c>
      <c r="C12" s="11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131" t="s">
        <v>189</v>
      </c>
      <c r="C3" s="131"/>
      <c r="D3" s="131"/>
      <c r="E3" s="131"/>
      <c r="F3" s="131"/>
      <c r="G3" s="131"/>
      <c r="H3" s="131"/>
      <c r="I3" s="61"/>
    </row>
    <row r="4" spans="1:9" ht="25.5" customHeight="1" x14ac:dyDescent="0.25">
      <c r="A4" s="61"/>
      <c r="B4" s="131"/>
      <c r="C4" s="131"/>
      <c r="D4" s="131"/>
      <c r="E4" s="131"/>
      <c r="F4" s="131"/>
      <c r="G4" s="131"/>
      <c r="H4" s="13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ht="27" customHeight="1" x14ac:dyDescent="0.25">
      <c r="A8" s="61"/>
      <c r="B8" s="132" t="s">
        <v>190</v>
      </c>
      <c r="C8" s="133"/>
      <c r="D8" s="133"/>
      <c r="E8" s="133"/>
      <c r="F8" s="133"/>
      <c r="G8" s="133"/>
      <c r="H8" s="134"/>
      <c r="I8" s="61"/>
    </row>
    <row r="9" spans="1:9" x14ac:dyDescent="0.25">
      <c r="A9" s="61"/>
      <c r="B9" s="118" t="s">
        <v>195</v>
      </c>
      <c r="C9" s="119"/>
      <c r="D9" s="119"/>
      <c r="E9" s="119"/>
      <c r="F9" s="135"/>
      <c r="G9" s="27">
        <v>2409791</v>
      </c>
      <c r="H9" s="62" t="s">
        <v>4</v>
      </c>
      <c r="I9" s="61"/>
    </row>
    <row r="10" spans="1:9" x14ac:dyDescent="0.25">
      <c r="A10" s="61"/>
      <c r="B10" s="136" t="s">
        <v>191</v>
      </c>
      <c r="C10" s="137"/>
      <c r="D10" s="137"/>
      <c r="E10" s="137"/>
      <c r="F10" s="138"/>
      <c r="G10" s="63">
        <f>SUM(G9:G9)</f>
        <v>2409791</v>
      </c>
      <c r="H10" s="64" t="s">
        <v>4</v>
      </c>
      <c r="I10" s="61"/>
    </row>
    <row r="11" spans="1:9" x14ac:dyDescent="0.25">
      <c r="A11" s="61"/>
      <c r="B11" s="65"/>
      <c r="C11" s="65"/>
      <c r="D11" s="65"/>
      <c r="E11" s="65"/>
      <c r="F11" s="65"/>
      <c r="G11" s="65"/>
      <c r="H11" s="65"/>
      <c r="I11" s="61"/>
    </row>
    <row r="12" spans="1:9" x14ac:dyDescent="0.25">
      <c r="A12" s="61"/>
      <c r="B12" s="65"/>
      <c r="C12" s="65"/>
      <c r="D12" s="65"/>
      <c r="E12" s="65"/>
      <c r="F12" s="65"/>
      <c r="G12" s="65"/>
      <c r="H12" s="65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61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66"/>
      <c r="B16" s="66"/>
      <c r="C16" s="66"/>
      <c r="D16" s="66"/>
      <c r="E16" s="66"/>
      <c r="F16" s="66"/>
      <c r="G16" s="66"/>
      <c r="H16" s="66"/>
      <c r="I16" s="66"/>
    </row>
    <row r="17" spans="1:9" x14ac:dyDescent="0.25">
      <c r="A17" s="66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66"/>
      <c r="B18" s="66"/>
      <c r="C18" s="66"/>
      <c r="D18" s="66"/>
      <c r="E18" s="66"/>
      <c r="F18" s="66"/>
      <c r="G18" s="66"/>
      <c r="H18" s="66"/>
      <c r="I18" s="66"/>
    </row>
    <row r="19" spans="1:9" x14ac:dyDescent="0.25">
      <c r="A19" s="66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66"/>
      <c r="B20" s="66"/>
      <c r="C20" s="66"/>
      <c r="D20" s="66"/>
      <c r="E20" s="66"/>
      <c r="F20" s="66"/>
      <c r="G20" s="66"/>
      <c r="H20" s="66"/>
      <c r="I20" s="66"/>
    </row>
    <row r="21" spans="1:9" x14ac:dyDescent="0.25">
      <c r="A21" s="66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66"/>
      <c r="B22" s="66"/>
      <c r="C22" s="66"/>
      <c r="D22" s="66"/>
      <c r="E22" s="66"/>
      <c r="F22" s="66"/>
      <c r="G22" s="66"/>
      <c r="H22" s="66"/>
      <c r="I22" s="66"/>
    </row>
    <row r="23" spans="1:9" x14ac:dyDescent="0.25">
      <c r="A23" s="66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66"/>
      <c r="B24" s="66"/>
      <c r="C24" s="66"/>
      <c r="D24" s="66"/>
      <c r="E24" s="66"/>
      <c r="F24" s="66"/>
      <c r="G24" s="66"/>
      <c r="H24" s="66"/>
      <c r="I24" s="66"/>
    </row>
    <row r="25" spans="1:9" x14ac:dyDescent="0.25">
      <c r="A25" s="66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66"/>
      <c r="B26" s="66"/>
      <c r="C26" s="66"/>
      <c r="D26" s="66"/>
      <c r="E26" s="66"/>
      <c r="F26" s="66"/>
      <c r="G26" s="66"/>
      <c r="H26" s="66"/>
      <c r="I26" s="66"/>
    </row>
    <row r="27" spans="1:9" x14ac:dyDescent="0.25">
      <c r="A27" s="66"/>
      <c r="B27" s="66"/>
      <c r="C27" s="66"/>
      <c r="D27" s="66"/>
      <c r="E27" s="66"/>
      <c r="F27" s="66"/>
      <c r="G27" s="66"/>
      <c r="H27" s="66"/>
      <c r="I27" s="66"/>
    </row>
    <row r="28" spans="1:9" x14ac:dyDescent="0.25">
      <c r="A28" s="66"/>
      <c r="B28" s="66"/>
      <c r="C28" s="66"/>
      <c r="D28" s="66"/>
      <c r="E28" s="66"/>
      <c r="F28" s="66"/>
      <c r="G28" s="66"/>
      <c r="H28" s="66"/>
      <c r="I28" s="66"/>
    </row>
    <row r="29" spans="1:9" x14ac:dyDescent="0.25">
      <c r="A29" s="66"/>
      <c r="B29" s="66"/>
      <c r="C29" s="66"/>
      <c r="D29" s="66"/>
      <c r="E29" s="66"/>
      <c r="F29" s="66"/>
      <c r="G29" s="66"/>
      <c r="H29" s="66"/>
      <c r="I29" s="66"/>
    </row>
    <row r="30" spans="1:9" x14ac:dyDescent="0.25">
      <c r="A30" s="66"/>
      <c r="B30" s="66"/>
      <c r="C30" s="66"/>
      <c r="D30" s="66"/>
      <c r="E30" s="66"/>
      <c r="F30" s="66"/>
      <c r="G30" s="66"/>
      <c r="H30" s="66"/>
      <c r="I30" s="66"/>
    </row>
    <row r="31" spans="1:9" x14ac:dyDescent="0.25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5">
      <c r="A32" s="66"/>
      <c r="B32" s="66"/>
      <c r="C32" s="66"/>
      <c r="D32" s="66"/>
      <c r="E32" s="66"/>
      <c r="F32" s="66"/>
      <c r="G32" s="66"/>
      <c r="H32" s="66"/>
      <c r="I32" s="66"/>
    </row>
    <row r="33" spans="1:9" x14ac:dyDescent="0.25">
      <c r="A33" s="66"/>
      <c r="B33" s="66"/>
      <c r="C33" s="66"/>
      <c r="D33" s="66"/>
      <c r="E33" s="66"/>
      <c r="F33" s="66"/>
      <c r="G33" s="66"/>
      <c r="H33" s="66"/>
      <c r="I33" s="66"/>
    </row>
    <row r="34" spans="1:9" x14ac:dyDescent="0.25">
      <c r="A34" s="66"/>
      <c r="B34" s="66"/>
      <c r="C34" s="66"/>
      <c r="D34" s="66"/>
      <c r="E34" s="66"/>
      <c r="F34" s="66"/>
      <c r="G34" s="66"/>
      <c r="H34" s="66"/>
      <c r="I34" s="66"/>
    </row>
    <row r="35" spans="1:9" x14ac:dyDescent="0.25">
      <c r="A35" s="66"/>
      <c r="B35" s="66"/>
      <c r="C35" s="66"/>
      <c r="D35" s="66"/>
      <c r="E35" s="66"/>
      <c r="F35" s="66"/>
      <c r="G35" s="66"/>
      <c r="H35" s="66"/>
      <c r="I35" s="66"/>
    </row>
    <row r="36" spans="1:9" x14ac:dyDescent="0.25">
      <c r="A36" s="66"/>
      <c r="B36" s="66"/>
      <c r="C36" s="66"/>
      <c r="D36" s="66"/>
      <c r="E36" s="66"/>
      <c r="F36" s="66"/>
      <c r="G36" s="66"/>
      <c r="H36" s="66"/>
      <c r="I36" s="66"/>
    </row>
    <row r="37" spans="1:9" x14ac:dyDescent="0.25">
      <c r="A37" s="66"/>
      <c r="B37" s="66"/>
      <c r="C37" s="66"/>
      <c r="D37" s="66"/>
      <c r="E37" s="66"/>
      <c r="F37" s="66"/>
      <c r="G37" s="66"/>
      <c r="H37" s="66"/>
      <c r="I37" s="66"/>
    </row>
    <row r="38" spans="1:9" x14ac:dyDescent="0.25">
      <c r="A38" s="66"/>
      <c r="B38" s="66"/>
      <c r="C38" s="66"/>
      <c r="D38" s="66"/>
      <c r="E38" s="66"/>
      <c r="F38" s="66"/>
      <c r="G38" s="66"/>
      <c r="H38" s="66"/>
      <c r="I38" s="66"/>
    </row>
    <row r="39" spans="1:9" x14ac:dyDescent="0.25">
      <c r="A39" s="66"/>
      <c r="B39" s="66"/>
      <c r="C39" s="66"/>
      <c r="D39" s="66"/>
      <c r="E39" s="66"/>
      <c r="F39" s="66"/>
      <c r="G39" s="66"/>
      <c r="H39" s="66"/>
      <c r="I39" s="66"/>
    </row>
    <row r="40" spans="1:9" x14ac:dyDescent="0.25">
      <c r="A40" s="66"/>
      <c r="B40" s="66"/>
      <c r="C40" s="66"/>
      <c r="D40" s="66"/>
      <c r="E40" s="66"/>
      <c r="F40" s="66"/>
      <c r="G40" s="66"/>
      <c r="H40" s="66"/>
      <c r="I40" s="66"/>
    </row>
    <row r="41" spans="1:9" x14ac:dyDescent="0.25">
      <c r="A41" s="66"/>
      <c r="B41" s="66"/>
      <c r="C41" s="66"/>
      <c r="D41" s="66"/>
      <c r="E41" s="66"/>
      <c r="F41" s="66"/>
      <c r="G41" s="66"/>
      <c r="H41" s="66"/>
      <c r="I41" s="66"/>
    </row>
    <row r="42" spans="1:9" x14ac:dyDescent="0.25">
      <c r="A42" s="66"/>
      <c r="B42" s="66"/>
      <c r="C42" s="66"/>
      <c r="D42" s="66"/>
      <c r="E42" s="66"/>
      <c r="F42" s="66"/>
      <c r="G42" s="66"/>
      <c r="H42" s="66"/>
      <c r="I42" s="66"/>
    </row>
    <row r="43" spans="1:9" x14ac:dyDescent="0.25">
      <c r="A43" s="66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66"/>
      <c r="B44" s="66"/>
      <c r="C44" s="66"/>
      <c r="D44" s="66"/>
      <c r="E44" s="66"/>
      <c r="F44" s="66"/>
      <c r="G44" s="66"/>
      <c r="H44" s="66"/>
      <c r="I44" s="66"/>
    </row>
    <row r="45" spans="1:9" x14ac:dyDescent="0.25">
      <c r="A45" s="66"/>
      <c r="B45" s="66"/>
      <c r="C45" s="66"/>
      <c r="D45" s="66"/>
      <c r="E45" s="66"/>
      <c r="F45" s="66"/>
      <c r="G45" s="66"/>
      <c r="H45" s="66"/>
      <c r="I45" s="66"/>
    </row>
    <row r="46" spans="1:9" x14ac:dyDescent="0.25">
      <c r="A46" s="66"/>
      <c r="B46" s="66"/>
      <c r="C46" s="66"/>
      <c r="D46" s="66"/>
      <c r="E46" s="66"/>
      <c r="F46" s="66"/>
      <c r="G46" s="66"/>
      <c r="H46" s="66"/>
      <c r="I46" s="66"/>
    </row>
    <row r="47" spans="1:9" x14ac:dyDescent="0.25">
      <c r="A47" s="66"/>
      <c r="B47" s="66"/>
      <c r="C47" s="66"/>
      <c r="D47" s="66"/>
      <c r="E47" s="66"/>
      <c r="F47" s="66"/>
      <c r="G47" s="66"/>
      <c r="H47" s="66"/>
      <c r="I47" s="66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111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56</v>
      </c>
      <c r="C8" s="110"/>
      <c r="D8" s="110"/>
      <c r="E8" s="110"/>
      <c r="F8" s="110"/>
      <c r="G8" s="110"/>
      <c r="H8" s="111"/>
      <c r="I8" s="2"/>
    </row>
    <row r="9" spans="1:9" ht="15" customHeight="1" x14ac:dyDescent="0.25">
      <c r="A9" s="2"/>
      <c r="B9" s="96" t="s">
        <v>60</v>
      </c>
      <c r="C9" s="97"/>
      <c r="D9" s="98"/>
      <c r="E9" s="8">
        <f>'Fane 3. Korrigeret grundlag'!G12</f>
        <v>33830690.915447533</v>
      </c>
      <c r="F9" s="9" t="s">
        <v>4</v>
      </c>
      <c r="G9" s="10"/>
      <c r="H9" s="11"/>
      <c r="I9" s="2"/>
    </row>
    <row r="10" spans="1:9" x14ac:dyDescent="0.25">
      <c r="A10" s="2"/>
      <c r="B10" s="105" t="s">
        <v>46</v>
      </c>
      <c r="C10" s="100"/>
      <c r="D10" s="101"/>
      <c r="E10" s="12">
        <f>'Fane 3. Korrigeret grundlag'!G11</f>
        <v>13398981.941445805</v>
      </c>
      <c r="F10" s="9" t="s">
        <v>4</v>
      </c>
      <c r="G10" s="13"/>
      <c r="H10" s="14"/>
      <c r="I10" s="2"/>
    </row>
    <row r="11" spans="1:9" x14ac:dyDescent="0.25">
      <c r="A11" s="2"/>
      <c r="B11" s="105" t="s">
        <v>123</v>
      </c>
      <c r="C11" s="100"/>
      <c r="D11" s="101"/>
      <c r="E11" s="12">
        <f>'Fane 4. Ikke-påvirkelige omk.'!G20</f>
        <v>1890562.3200585009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186</v>
      </c>
      <c r="C12" s="49"/>
      <c r="D12" s="50"/>
      <c r="E12" s="12">
        <f>'Fane 5. Individuelt eff.krav'!G10</f>
        <v>-262077.04169293377</v>
      </c>
      <c r="F12" s="9" t="s">
        <v>4</v>
      </c>
      <c r="G12" s="13"/>
      <c r="H12" s="14"/>
      <c r="I12" s="2"/>
    </row>
    <row r="13" spans="1:9" x14ac:dyDescent="0.25">
      <c r="A13" s="2"/>
      <c r="B13" s="105" t="s">
        <v>166</v>
      </c>
      <c r="C13" s="112"/>
      <c r="D13" s="113"/>
      <c r="E13" s="12">
        <f>'Fane 3. Korrigeret grundlag'!G22</f>
        <v>430438</v>
      </c>
      <c r="F13" s="9" t="s">
        <v>4</v>
      </c>
      <c r="G13" s="13"/>
      <c r="H13" s="14"/>
      <c r="I13" s="2"/>
    </row>
    <row r="14" spans="1:9" x14ac:dyDescent="0.25">
      <c r="A14" s="2"/>
      <c r="B14" s="96" t="s">
        <v>131</v>
      </c>
      <c r="C14" s="97"/>
      <c r="D14" s="9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6" t="s">
        <v>132</v>
      </c>
      <c r="C15" s="97"/>
      <c r="D15" s="9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6" t="s">
        <v>170</v>
      </c>
      <c r="C16" s="97"/>
      <c r="D16" s="9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6" t="s">
        <v>133</v>
      </c>
      <c r="C17" s="97"/>
      <c r="D17" s="9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6" t="s">
        <v>134</v>
      </c>
      <c r="C18" s="97"/>
      <c r="D18" s="9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105" t="s">
        <v>125</v>
      </c>
      <c r="C20" s="100"/>
      <c r="D20" s="101"/>
      <c r="E20" s="12">
        <f>SUM(E9,E11:E18)*(E19/100)</f>
        <v>628068.24839172931</v>
      </c>
      <c r="F20" s="9" t="s">
        <v>4</v>
      </c>
      <c r="G20" s="13"/>
      <c r="H20" s="14"/>
      <c r="I20" s="2"/>
    </row>
    <row r="21" spans="1:9" x14ac:dyDescent="0.25">
      <c r="A21" s="2"/>
      <c r="B21" s="99" t="s">
        <v>15</v>
      </c>
      <c r="C21" s="100"/>
      <c r="D21" s="101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99" t="s">
        <v>16</v>
      </c>
      <c r="C22" s="100"/>
      <c r="D22" s="101"/>
      <c r="E22" s="12">
        <f>'Fane 6. Generelt eff.krav'!G17</f>
        <v>386281.37610782939</v>
      </c>
      <c r="F22" s="9" t="s">
        <v>4</v>
      </c>
      <c r="G22" s="16"/>
      <c r="H22" s="17"/>
      <c r="I22" s="2"/>
    </row>
    <row r="23" spans="1:9" x14ac:dyDescent="0.25">
      <c r="A23" s="2"/>
      <c r="B23" s="106" t="s">
        <v>176</v>
      </c>
      <c r="C23" s="107"/>
      <c r="D23" s="108"/>
      <c r="E23" s="18">
        <f>SUM(E9,E11:E18,E20)-SUM(E21:E22)</f>
        <v>36131401.066097006</v>
      </c>
      <c r="F23" s="19" t="s">
        <v>4</v>
      </c>
      <c r="G23" s="18">
        <f>E23</f>
        <v>36131401.066097006</v>
      </c>
      <c r="H23" s="19" t="s">
        <v>4</v>
      </c>
      <c r="I23" s="2"/>
    </row>
    <row r="24" spans="1:9" x14ac:dyDescent="0.25">
      <c r="A24" s="2"/>
      <c r="B24" s="109" t="s">
        <v>192</v>
      </c>
      <c r="C24" s="110"/>
      <c r="D24" s="110"/>
      <c r="E24" s="110"/>
      <c r="F24" s="110"/>
      <c r="G24" s="110"/>
      <c r="H24" s="111"/>
      <c r="I24" s="2"/>
    </row>
    <row r="25" spans="1:9" x14ac:dyDescent="0.25">
      <c r="A25" s="2"/>
      <c r="B25" s="102" t="s">
        <v>193</v>
      </c>
      <c r="C25" s="103"/>
      <c r="D25" s="104"/>
      <c r="E25" s="18">
        <f>'Fane 13. Klima'!G10</f>
        <v>2409791</v>
      </c>
      <c r="F25" s="19" t="s">
        <v>4</v>
      </c>
      <c r="G25" s="18">
        <f>E25</f>
        <v>2409791</v>
      </c>
      <c r="H25" s="19" t="s">
        <v>4</v>
      </c>
      <c r="I25" s="2"/>
    </row>
    <row r="26" spans="1:9" x14ac:dyDescent="0.25">
      <c r="A26" s="2"/>
      <c r="B26" s="109" t="s">
        <v>17</v>
      </c>
      <c r="C26" s="110"/>
      <c r="D26" s="110"/>
      <c r="E26" s="110"/>
      <c r="F26" s="110"/>
      <c r="G26" s="110"/>
      <c r="H26" s="111"/>
      <c r="I26" s="2"/>
    </row>
    <row r="27" spans="1:9" x14ac:dyDescent="0.25">
      <c r="A27" s="2"/>
      <c r="B27" s="102" t="s">
        <v>55</v>
      </c>
      <c r="C27" s="103"/>
      <c r="D27" s="104"/>
      <c r="E27" s="18">
        <f>'Fane 7. Hist. over el. underdæk'!G13</f>
        <v>-1503436.5044091709</v>
      </c>
      <c r="F27" s="19" t="s">
        <v>4</v>
      </c>
      <c r="G27" s="18">
        <f>E27</f>
        <v>-1503436.5044091709</v>
      </c>
      <c r="H27" s="19" t="s">
        <v>4</v>
      </c>
      <c r="I27" s="2"/>
    </row>
    <row r="28" spans="1:9" x14ac:dyDescent="0.25">
      <c r="A28" s="2"/>
      <c r="B28" s="109" t="s">
        <v>100</v>
      </c>
      <c r="C28" s="110"/>
      <c r="D28" s="110"/>
      <c r="E28" s="110"/>
      <c r="F28" s="110"/>
      <c r="G28" s="110"/>
      <c r="H28" s="111"/>
      <c r="I28" s="2"/>
    </row>
    <row r="29" spans="1:9" x14ac:dyDescent="0.25">
      <c r="A29" s="2"/>
      <c r="B29" s="96" t="s">
        <v>107</v>
      </c>
      <c r="C29" s="97"/>
      <c r="D29" s="98"/>
      <c r="E29" s="12">
        <f>'Fane 9. Korrektion af PL2016'!G11</f>
        <v>1885026</v>
      </c>
      <c r="F29" s="9" t="s">
        <v>4</v>
      </c>
      <c r="G29" s="20"/>
      <c r="H29" s="11"/>
      <c r="I29" s="2"/>
    </row>
    <row r="30" spans="1:9" x14ac:dyDescent="0.25">
      <c r="A30" s="2"/>
      <c r="B30" s="96" t="s">
        <v>101</v>
      </c>
      <c r="C30" s="97"/>
      <c r="D30" s="98"/>
      <c r="E30" s="12">
        <f>'Fane 9. Korrektion af PL2016'!G17</f>
        <v>193501</v>
      </c>
      <c r="F30" s="9" t="s">
        <v>4</v>
      </c>
      <c r="G30" s="15"/>
      <c r="H30" s="14"/>
      <c r="I30" s="2"/>
    </row>
    <row r="31" spans="1:9" ht="30" customHeight="1" x14ac:dyDescent="0.25">
      <c r="A31" s="2"/>
      <c r="B31" s="96" t="s">
        <v>102</v>
      </c>
      <c r="C31" s="97"/>
      <c r="D31" s="98"/>
      <c r="E31" s="12">
        <f>'Fane 9. Korrektion af PL2016'!G23</f>
        <v>-44709</v>
      </c>
      <c r="F31" s="9" t="s">
        <v>4</v>
      </c>
      <c r="G31" s="13"/>
      <c r="H31" s="14"/>
      <c r="I31" s="2"/>
    </row>
    <row r="32" spans="1:9" ht="30" customHeight="1" x14ac:dyDescent="0.25">
      <c r="A32" s="2"/>
      <c r="B32" s="96" t="s">
        <v>103</v>
      </c>
      <c r="C32" s="97"/>
      <c r="D32" s="98"/>
      <c r="E32" s="12">
        <f>'Fane 9. Korrektion af PL2016'!G29</f>
        <v>-458672</v>
      </c>
      <c r="F32" s="9" t="s">
        <v>4</v>
      </c>
      <c r="G32" s="15"/>
      <c r="H32" s="14"/>
      <c r="I32" s="2"/>
    </row>
    <row r="33" spans="1:9" ht="28.5" customHeight="1" x14ac:dyDescent="0.25">
      <c r="A33" s="2"/>
      <c r="B33" s="96" t="s">
        <v>104</v>
      </c>
      <c r="C33" s="97"/>
      <c r="D33" s="98"/>
      <c r="E33" s="12">
        <f>'Fane 9. Korrektion af PL2016'!G35</f>
        <v>40977.946933333355</v>
      </c>
      <c r="F33" s="9" t="s">
        <v>4</v>
      </c>
      <c r="G33" s="15"/>
      <c r="H33" s="14"/>
      <c r="I33" s="2"/>
    </row>
    <row r="34" spans="1:9" ht="28.5" customHeight="1" x14ac:dyDescent="0.25">
      <c r="A34" s="2"/>
      <c r="B34" s="96" t="s">
        <v>78</v>
      </c>
      <c r="C34" s="97"/>
      <c r="D34" s="98"/>
      <c r="E34" s="12">
        <f>'Fane 9. Korrektion af PL2016'!G41</f>
        <v>-240522.81567055965</v>
      </c>
      <c r="F34" s="9" t="s">
        <v>4</v>
      </c>
      <c r="G34" s="16"/>
      <c r="H34" s="17"/>
      <c r="I34" s="2"/>
    </row>
    <row r="35" spans="1:9" x14ac:dyDescent="0.25">
      <c r="A35" s="2"/>
      <c r="B35" s="102" t="s">
        <v>105</v>
      </c>
      <c r="C35" s="103"/>
      <c r="D35" s="104"/>
      <c r="E35" s="18">
        <f>SUM(E29:E34)</f>
        <v>1375601.1312627736</v>
      </c>
      <c r="F35" s="19" t="s">
        <v>4</v>
      </c>
      <c r="G35" s="18">
        <f>E35</f>
        <v>1375601.1312627736</v>
      </c>
      <c r="H35" s="19" t="s">
        <v>4</v>
      </c>
      <c r="I35" s="2"/>
    </row>
    <row r="36" spans="1:9" x14ac:dyDescent="0.25">
      <c r="A36" s="2"/>
      <c r="B36" s="109" t="s">
        <v>18</v>
      </c>
      <c r="C36" s="110"/>
      <c r="D36" s="110"/>
      <c r="E36" s="110"/>
      <c r="F36" s="110"/>
      <c r="G36" s="110"/>
      <c r="H36" s="111"/>
      <c r="I36" s="2"/>
    </row>
    <row r="37" spans="1:9" x14ac:dyDescent="0.25">
      <c r="A37" s="2"/>
      <c r="B37" s="102" t="s">
        <v>106</v>
      </c>
      <c r="C37" s="103"/>
      <c r="D37" s="104"/>
      <c r="E37" s="18">
        <f>'Fane 10. Kontrol af PL2016'!G36</f>
        <v>0</v>
      </c>
      <c r="F37" s="19" t="s">
        <v>4</v>
      </c>
      <c r="G37" s="18">
        <f>E37</f>
        <v>0</v>
      </c>
      <c r="H37" s="19" t="s">
        <v>4</v>
      </c>
      <c r="I37" s="2"/>
    </row>
    <row r="38" spans="1:9" x14ac:dyDescent="0.25">
      <c r="A38" s="2"/>
      <c r="B38" s="109" t="s">
        <v>62</v>
      </c>
      <c r="C38" s="110"/>
      <c r="D38" s="110"/>
      <c r="E38" s="110"/>
      <c r="F38" s="111"/>
      <c r="G38" s="21">
        <f>G23+G25+G27+G35+G37</f>
        <v>38413356.692950606</v>
      </c>
      <c r="H38" s="22" t="s">
        <v>4</v>
      </c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</sheetData>
  <sheetProtection password="DFE9" sheet="1" objects="1" scenarios="1"/>
  <mergeCells count="30">
    <mergeCell ref="B8:H8"/>
    <mergeCell ref="B11:D11"/>
    <mergeCell ref="B35:D35"/>
    <mergeCell ref="B31:D31"/>
    <mergeCell ref="B38:F38"/>
    <mergeCell ref="B20:D20"/>
    <mergeCell ref="B14:D14"/>
    <mergeCell ref="B15:D15"/>
    <mergeCell ref="B17:D17"/>
    <mergeCell ref="B18:D18"/>
    <mergeCell ref="B13:D13"/>
    <mergeCell ref="B16:D16"/>
    <mergeCell ref="B24:H24"/>
    <mergeCell ref="B25:D25"/>
    <mergeCell ref="B3:H4"/>
    <mergeCell ref="B9:D9"/>
    <mergeCell ref="B21:D21"/>
    <mergeCell ref="B37:D37"/>
    <mergeCell ref="B22:D22"/>
    <mergeCell ref="B10:D10"/>
    <mergeCell ref="B23:D23"/>
    <mergeCell ref="B27:D27"/>
    <mergeCell ref="B30:D30"/>
    <mergeCell ref="B32:D32"/>
    <mergeCell ref="B33:D33"/>
    <mergeCell ref="B36:H36"/>
    <mergeCell ref="B34:D34"/>
    <mergeCell ref="B28:H28"/>
    <mergeCell ref="B26:H26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4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110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56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96" t="s">
        <v>108</v>
      </c>
      <c r="C9" s="97"/>
      <c r="D9" s="98"/>
      <c r="E9" s="8">
        <f>'Fane 2.1. Økonomisk ramme 2018'!G23-'Fane 2.1. Økonomisk ramme 2018'!E13*(1+0.0175)*(1-0.02-'Fane 5. Individuelt eff.krav'!G11/100)</f>
        <v>35702189.814397007</v>
      </c>
      <c r="F9" s="9" t="s">
        <v>4</v>
      </c>
      <c r="G9" s="10"/>
      <c r="H9" s="11"/>
      <c r="I9" s="2"/>
    </row>
    <row r="10" spans="1:9" x14ac:dyDescent="0.25">
      <c r="A10" s="2"/>
      <c r="B10" s="105" t="s">
        <v>46</v>
      </c>
      <c r="C10" s="112"/>
      <c r="D10" s="113"/>
      <c r="E10" s="12">
        <f>(SUM('Fane 2.1. Økonomisk ramme 2018'!E10:E11,'Fane 2.1. Økonomisk ramme 2018'!E16))*(1+'Fane 2.1. Økonomisk ramme 2018'!E19/100)</f>
        <v>15557111.286080632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166</v>
      </c>
      <c r="C11" s="59"/>
      <c r="D11" s="60"/>
      <c r="E11" s="12">
        <v>437970</v>
      </c>
      <c r="F11" s="9" t="s">
        <v>4</v>
      </c>
      <c r="G11" s="13"/>
      <c r="H11" s="14"/>
      <c r="I11" s="2"/>
    </row>
    <row r="12" spans="1:9" x14ac:dyDescent="0.25">
      <c r="A12" s="2"/>
      <c r="B12" s="99" t="s">
        <v>61</v>
      </c>
      <c r="C12" s="100"/>
      <c r="D12" s="101"/>
      <c r="E12" s="12">
        <f>($E$9+E11)*'Fane 2.1. Økonomisk ramme 2018'!E19/100</f>
        <v>632452.79675194761</v>
      </c>
      <c r="F12" s="9" t="s">
        <v>4</v>
      </c>
      <c r="G12" s="15"/>
      <c r="H12" s="14"/>
      <c r="I12" s="2"/>
    </row>
    <row r="13" spans="1:9" x14ac:dyDescent="0.25">
      <c r="A13" s="2"/>
      <c r="B13" s="99" t="s">
        <v>15</v>
      </c>
      <c r="C13" s="100"/>
      <c r="D13" s="101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394686.22560014424</v>
      </c>
      <c r="F14" s="9" t="s">
        <v>4</v>
      </c>
      <c r="G14" s="16"/>
      <c r="H14" s="17"/>
      <c r="I14" s="2"/>
    </row>
    <row r="15" spans="1:9" x14ac:dyDescent="0.25">
      <c r="A15" s="2"/>
      <c r="B15" s="106" t="s">
        <v>176</v>
      </c>
      <c r="C15" s="107"/>
      <c r="D15" s="108"/>
      <c r="E15" s="18">
        <f>$E$9+$E$12-$E$13-$E$14+E11</f>
        <v>36377926.385548808</v>
      </c>
      <c r="F15" s="19" t="s">
        <v>4</v>
      </c>
      <c r="G15" s="18">
        <f>E15</f>
        <v>36377926.385548808</v>
      </c>
      <c r="H15" s="19" t="s">
        <v>4</v>
      </c>
      <c r="I15" s="2"/>
    </row>
    <row r="16" spans="1:9" x14ac:dyDescent="0.25">
      <c r="A16" s="2"/>
      <c r="B16" s="109" t="s">
        <v>192</v>
      </c>
      <c r="C16" s="110"/>
      <c r="D16" s="110"/>
      <c r="E16" s="110"/>
      <c r="F16" s="110"/>
      <c r="G16" s="110"/>
      <c r="H16" s="111"/>
      <c r="I16" s="2"/>
    </row>
    <row r="17" spans="1:9" x14ac:dyDescent="0.25">
      <c r="A17" s="2"/>
      <c r="B17" s="102" t="s">
        <v>193</v>
      </c>
      <c r="C17" s="103"/>
      <c r="D17" s="104"/>
      <c r="E17" s="18">
        <f>'Fane 2.1. Økonomisk ramme 2018'!G25</f>
        <v>2409791</v>
      </c>
      <c r="F17" s="19" t="s">
        <v>4</v>
      </c>
      <c r="G17" s="18">
        <f>E17</f>
        <v>2409791</v>
      </c>
      <c r="H17" s="19" t="s">
        <v>4</v>
      </c>
      <c r="I17" s="2"/>
    </row>
    <row r="18" spans="1:9" x14ac:dyDescent="0.25">
      <c r="A18" s="2"/>
      <c r="B18" s="109" t="s">
        <v>17</v>
      </c>
      <c r="C18" s="110"/>
      <c r="D18" s="110"/>
      <c r="E18" s="110"/>
      <c r="F18" s="110"/>
      <c r="G18" s="110"/>
      <c r="H18" s="111"/>
      <c r="I18" s="2"/>
    </row>
    <row r="19" spans="1:9" ht="15" customHeight="1" x14ac:dyDescent="0.25">
      <c r="A19" s="2"/>
      <c r="B19" s="102" t="s">
        <v>55</v>
      </c>
      <c r="C19" s="103"/>
      <c r="D19" s="104"/>
      <c r="E19" s="18">
        <f>IF('Fane 7. Hist. over el. underdæk'!$G$12&gt;1,'Fane 7. Hist. over el. underdæk'!$G$13,0)</f>
        <v>-1503436.5044091709</v>
      </c>
      <c r="F19" s="19" t="s">
        <v>4</v>
      </c>
      <c r="G19" s="18">
        <f>E19</f>
        <v>-1503436.5044091709</v>
      </c>
      <c r="H19" s="19" t="s">
        <v>4</v>
      </c>
      <c r="I19" s="2"/>
    </row>
    <row r="20" spans="1:9" x14ac:dyDescent="0.25">
      <c r="A20" s="2"/>
      <c r="B20" s="109" t="s">
        <v>109</v>
      </c>
      <c r="C20" s="110"/>
      <c r="D20" s="110"/>
      <c r="E20" s="110"/>
      <c r="F20" s="111"/>
      <c r="G20" s="21">
        <f>G15+G17+G19</f>
        <v>37284280.881139636</v>
      </c>
      <c r="H20" s="22" t="s">
        <v>4</v>
      </c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2">
    <mergeCell ref="B20:F20"/>
    <mergeCell ref="B3:H4"/>
    <mergeCell ref="B8:H8"/>
    <mergeCell ref="B9:D9"/>
    <mergeCell ref="B10:D10"/>
    <mergeCell ref="B12:D12"/>
    <mergeCell ref="B13:D13"/>
    <mergeCell ref="B15:D15"/>
    <mergeCell ref="B18:H18"/>
    <mergeCell ref="B19:D19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141</v>
      </c>
      <c r="C3" s="117"/>
      <c r="D3" s="117"/>
      <c r="E3" s="117"/>
      <c r="F3" s="117"/>
      <c r="G3" s="117"/>
      <c r="H3" s="117"/>
      <c r="I3" s="2"/>
    </row>
    <row r="4" spans="1:9" ht="29.2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143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99" t="s">
        <v>112</v>
      </c>
      <c r="C9" s="100"/>
      <c r="D9" s="100"/>
      <c r="E9" s="100"/>
      <c r="F9" s="101"/>
      <c r="G9" s="27">
        <v>6231708.5219468083</v>
      </c>
      <c r="H9" s="23" t="s">
        <v>4</v>
      </c>
      <c r="I9" s="2"/>
    </row>
    <row r="10" spans="1:9" x14ac:dyDescent="0.25">
      <c r="A10" s="2"/>
      <c r="B10" s="99" t="s">
        <v>113</v>
      </c>
      <c r="C10" s="100"/>
      <c r="D10" s="100"/>
      <c r="E10" s="100"/>
      <c r="F10" s="101"/>
      <c r="G10" s="27">
        <v>14200000.45205492</v>
      </c>
      <c r="H10" s="23" t="s">
        <v>4</v>
      </c>
      <c r="I10" s="2"/>
    </row>
    <row r="11" spans="1:9" x14ac:dyDescent="0.25">
      <c r="A11" s="2"/>
      <c r="B11" s="99" t="s">
        <v>140</v>
      </c>
      <c r="C11" s="100"/>
      <c r="D11" s="100"/>
      <c r="E11" s="100"/>
      <c r="F11" s="101"/>
      <c r="G11" s="27">
        <v>13398981.941445805</v>
      </c>
      <c r="H11" s="23" t="s">
        <v>4</v>
      </c>
      <c r="I11" s="2"/>
    </row>
    <row r="12" spans="1:9" ht="17.25" customHeight="1" x14ac:dyDescent="0.25">
      <c r="A12" s="2"/>
      <c r="B12" s="114" t="s">
        <v>145</v>
      </c>
      <c r="C12" s="115"/>
      <c r="D12" s="115"/>
      <c r="E12" s="115"/>
      <c r="F12" s="116"/>
      <c r="G12" s="21">
        <f>SUM(G9:G11)</f>
        <v>33830690.915447533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109" t="s">
        <v>166</v>
      </c>
      <c r="C19" s="110"/>
      <c r="D19" s="110"/>
      <c r="E19" s="110"/>
      <c r="F19" s="110"/>
      <c r="G19" s="110"/>
      <c r="H19" s="111"/>
      <c r="I19" s="2"/>
    </row>
    <row r="20" spans="1:9" x14ac:dyDescent="0.25">
      <c r="A20" s="2"/>
      <c r="B20" s="99" t="s">
        <v>167</v>
      </c>
      <c r="C20" s="100"/>
      <c r="D20" s="100"/>
      <c r="E20" s="100"/>
      <c r="F20" s="101"/>
      <c r="G20" s="27">
        <v>430438</v>
      </c>
      <c r="H20" s="23" t="s">
        <v>4</v>
      </c>
      <c r="I20" s="2"/>
    </row>
    <row r="21" spans="1:9" x14ac:dyDescent="0.25">
      <c r="A21" s="2"/>
      <c r="B21" s="99" t="s">
        <v>168</v>
      </c>
      <c r="C21" s="100"/>
      <c r="D21" s="100"/>
      <c r="E21" s="100"/>
      <c r="F21" s="101"/>
      <c r="G21" s="27">
        <v>0</v>
      </c>
      <c r="H21" s="23" t="s">
        <v>4</v>
      </c>
      <c r="I21" s="2"/>
    </row>
    <row r="22" spans="1:9" x14ac:dyDescent="0.25">
      <c r="A22" s="2"/>
      <c r="B22" s="114" t="s">
        <v>169</v>
      </c>
      <c r="C22" s="115"/>
      <c r="D22" s="115"/>
      <c r="E22" s="115"/>
      <c r="F22" s="116"/>
      <c r="G22" s="21">
        <f>SUM(G20:G21)</f>
        <v>430438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114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115</v>
      </c>
      <c r="C8" s="110"/>
      <c r="D8" s="110"/>
      <c r="E8" s="110"/>
      <c r="F8" s="110"/>
      <c r="G8" s="110"/>
      <c r="H8" s="111"/>
      <c r="I8" s="2"/>
    </row>
    <row r="9" spans="1:9" ht="51.75" customHeight="1" x14ac:dyDescent="0.25">
      <c r="A9" s="2"/>
      <c r="B9" s="102" t="s">
        <v>117</v>
      </c>
      <c r="C9" s="103"/>
      <c r="D9" s="10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18" t="s">
        <v>157</v>
      </c>
      <c r="C10" s="119"/>
      <c r="D10" s="11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18" t="s">
        <v>158</v>
      </c>
      <c r="C11" s="119"/>
      <c r="D11" s="119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18" t="s">
        <v>159</v>
      </c>
      <c r="C12" s="119"/>
      <c r="D12" s="119"/>
      <c r="E12" s="56">
        <v>0</v>
      </c>
      <c r="F12" s="23" t="s">
        <v>4</v>
      </c>
      <c r="G12" s="27">
        <v>1745136</v>
      </c>
      <c r="H12" s="23" t="s">
        <v>4</v>
      </c>
      <c r="I12" s="2"/>
    </row>
    <row r="13" spans="1:9" x14ac:dyDescent="0.25">
      <c r="A13" s="2"/>
      <c r="B13" s="118" t="s">
        <v>160</v>
      </c>
      <c r="C13" s="119"/>
      <c r="D13" s="119"/>
      <c r="E13" s="56">
        <v>32399.4126</v>
      </c>
      <c r="F13" s="23" t="s">
        <v>4</v>
      </c>
      <c r="G13" s="27">
        <v>50210</v>
      </c>
      <c r="H13" s="23" t="s">
        <v>4</v>
      </c>
      <c r="I13" s="2"/>
    </row>
    <row r="14" spans="1:9" x14ac:dyDescent="0.25">
      <c r="A14" s="2"/>
      <c r="B14" s="118" t="s">
        <v>161</v>
      </c>
      <c r="C14" s="119"/>
      <c r="D14" s="11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18" t="s">
        <v>162</v>
      </c>
      <c r="C15" s="119"/>
      <c r="D15" s="11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18" t="s">
        <v>163</v>
      </c>
      <c r="C16" s="119"/>
      <c r="D16" s="119"/>
      <c r="E16" s="56">
        <v>13014283.0812</v>
      </c>
      <c r="F16" s="23" t="s">
        <v>4</v>
      </c>
      <c r="G16" s="27">
        <v>13157308</v>
      </c>
      <c r="H16" s="23" t="s">
        <v>4</v>
      </c>
      <c r="I16" s="2"/>
    </row>
    <row r="17" spans="1:9" x14ac:dyDescent="0.25">
      <c r="A17" s="2"/>
      <c r="B17" s="118" t="s">
        <v>164</v>
      </c>
      <c r="C17" s="119"/>
      <c r="D17" s="11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20" t="s">
        <v>165</v>
      </c>
      <c r="C18" s="120"/>
      <c r="D18" s="120"/>
      <c r="E18" s="56">
        <v>184266</v>
      </c>
      <c r="F18" s="23" t="s">
        <v>4</v>
      </c>
      <c r="G18" s="27">
        <v>136341</v>
      </c>
      <c r="H18" s="23" t="s">
        <v>4</v>
      </c>
      <c r="I18" s="2"/>
    </row>
    <row r="19" spans="1:9" x14ac:dyDescent="0.25">
      <c r="A19" s="2"/>
      <c r="B19" s="109" t="s">
        <v>136</v>
      </c>
      <c r="C19" s="110"/>
      <c r="D19" s="110"/>
      <c r="E19" s="110"/>
      <c r="F19" s="111"/>
      <c r="G19" s="21">
        <f>SUM(G10:G18)-SUM(E10:E18)</f>
        <v>1858046.5062000006</v>
      </c>
      <c r="H19" s="22" t="s">
        <v>4</v>
      </c>
      <c r="I19" s="2"/>
    </row>
    <row r="20" spans="1:9" x14ac:dyDescent="0.25">
      <c r="A20" s="2"/>
      <c r="B20" s="109" t="s">
        <v>137</v>
      </c>
      <c r="C20" s="110"/>
      <c r="D20" s="110"/>
      <c r="E20" s="110"/>
      <c r="F20" s="111"/>
      <c r="G20" s="21">
        <f>G19*(1+'Fane 2.1. Økonomisk ramme 2018'!E19/100)</f>
        <v>1890562.3200585009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71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15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99" t="s">
        <v>51</v>
      </c>
      <c r="C9" s="100"/>
      <c r="D9" s="100"/>
      <c r="E9" s="100"/>
      <c r="F9" s="101"/>
      <c r="G9" s="12">
        <f>'Fane 3. Korrigeret grundlag'!G12-'Fane 3. Korrigeret grundlag'!G11+SUM('Fane 2.1. Økonomisk ramme 2018'!E13:E15,'Fane 2.1. Økonomisk ramme 2018'!E17:E18)</f>
        <v>20862146.974001728</v>
      </c>
      <c r="H9" s="23" t="s">
        <v>4</v>
      </c>
      <c r="I9" s="2"/>
    </row>
    <row r="10" spans="1:9" x14ac:dyDescent="0.25">
      <c r="A10" s="2"/>
      <c r="B10" s="51" t="s">
        <v>186</v>
      </c>
      <c r="C10" s="49"/>
      <c r="D10" s="49"/>
      <c r="E10" s="49"/>
      <c r="F10" s="50"/>
      <c r="G10" s="12">
        <v>-262077.04169293377</v>
      </c>
      <c r="H10" s="23" t="s">
        <v>4</v>
      </c>
      <c r="I10" s="2"/>
    </row>
    <row r="11" spans="1:9" x14ac:dyDescent="0.25">
      <c r="A11" s="2"/>
      <c r="B11" s="99" t="s">
        <v>37</v>
      </c>
      <c r="C11" s="100"/>
      <c r="D11" s="100"/>
      <c r="E11" s="100"/>
      <c r="F11" s="101"/>
      <c r="G11" s="29">
        <v>0</v>
      </c>
      <c r="H11" s="23" t="s">
        <v>38</v>
      </c>
      <c r="I11" s="2"/>
    </row>
    <row r="12" spans="1:9" x14ac:dyDescent="0.25">
      <c r="A12" s="2"/>
      <c r="B12" s="109" t="s">
        <v>15</v>
      </c>
      <c r="C12" s="110"/>
      <c r="D12" s="110"/>
      <c r="E12" s="110"/>
      <c r="F12" s="111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53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121" t="s">
        <v>47</v>
      </c>
      <c r="C9" s="122"/>
      <c r="D9" s="122"/>
      <c r="E9" s="122"/>
      <c r="F9" s="123"/>
      <c r="G9" s="12">
        <f>'Fane 3. Korrigeret grundlag'!G9+(SUM('Fane 2.1. Økonomisk ramme 2018'!E13,'Fane 2.1. Økonomisk ramme 2018'!E14,'Fane 2.1. Økonomisk ramme 2018'!E17))</f>
        <v>6662146.5219468083</v>
      </c>
      <c r="H9" s="23" t="s">
        <v>4</v>
      </c>
      <c r="I9" s="2"/>
    </row>
    <row r="10" spans="1:9" x14ac:dyDescent="0.25">
      <c r="A10" s="2"/>
      <c r="B10" s="52" t="s">
        <v>185</v>
      </c>
      <c r="C10" s="53"/>
      <c r="D10" s="53"/>
      <c r="E10" s="53"/>
      <c r="F10" s="54"/>
      <c r="G10" s="12">
        <v>-133242.92428373898</v>
      </c>
      <c r="H10" s="23" t="s">
        <v>4</v>
      </c>
      <c r="I10" s="2"/>
    </row>
    <row r="11" spans="1:9" x14ac:dyDescent="0.25">
      <c r="A11" s="2"/>
      <c r="B11" s="99" t="s">
        <v>16</v>
      </c>
      <c r="C11" s="100"/>
      <c r="D11" s="100"/>
      <c r="E11" s="100"/>
      <c r="F11" s="101"/>
      <c r="G11" s="37">
        <f>2</f>
        <v>2</v>
      </c>
      <c r="H11" s="23" t="s">
        <v>38</v>
      </c>
      <c r="I11" s="2"/>
    </row>
    <row r="12" spans="1:9" x14ac:dyDescent="0.25">
      <c r="A12" s="2"/>
      <c r="B12" s="106" t="s">
        <v>39</v>
      </c>
      <c r="C12" s="107"/>
      <c r="D12" s="107"/>
      <c r="E12" s="107"/>
      <c r="F12" s="108"/>
      <c r="G12" s="18">
        <f>($G$9+$G$10)*(1+'Fane 2.1. Økonomisk ramme 2018'!E19/100)*$G$11/100</f>
        <v>132863.18821244346</v>
      </c>
      <c r="H12" s="38" t="s">
        <v>4</v>
      </c>
      <c r="I12" s="2"/>
    </row>
    <row r="13" spans="1:9" x14ac:dyDescent="0.25">
      <c r="A13" s="2"/>
      <c r="B13" s="99" t="s">
        <v>48</v>
      </c>
      <c r="C13" s="100"/>
      <c r="D13" s="100"/>
      <c r="E13" s="100"/>
      <c r="F13" s="101"/>
      <c r="G13" s="12">
        <f>'Fane 3. Korrigeret grundlag'!G10+SUM('Fane 2.1. Økonomisk ramme 2018'!E15,'Fane 2.1. Økonomisk ramme 2018'!E18)</f>
        <v>14200000.45205492</v>
      </c>
      <c r="H13" s="23" t="s">
        <v>4</v>
      </c>
      <c r="I13" s="2"/>
    </row>
    <row r="14" spans="1:9" x14ac:dyDescent="0.25">
      <c r="A14" s="2"/>
      <c r="B14" s="51" t="s">
        <v>187</v>
      </c>
      <c r="C14" s="49"/>
      <c r="D14" s="49"/>
      <c r="E14" s="49"/>
      <c r="F14" s="50"/>
      <c r="G14" s="12">
        <v>-128834.11740919479</v>
      </c>
      <c r="H14" s="23" t="s">
        <v>4</v>
      </c>
      <c r="I14" s="2"/>
    </row>
    <row r="15" spans="1:9" x14ac:dyDescent="0.25">
      <c r="A15" s="2"/>
      <c r="B15" s="99" t="s">
        <v>16</v>
      </c>
      <c r="C15" s="100"/>
      <c r="D15" s="100"/>
      <c r="E15" s="100"/>
      <c r="F15" s="101"/>
      <c r="G15" s="30">
        <v>1.77</v>
      </c>
      <c r="H15" s="23" t="s">
        <v>38</v>
      </c>
      <c r="I15" s="2"/>
    </row>
    <row r="16" spans="1:9" x14ac:dyDescent="0.25">
      <c r="A16" s="2"/>
      <c r="B16" s="106" t="s">
        <v>40</v>
      </c>
      <c r="C16" s="107"/>
      <c r="D16" s="107"/>
      <c r="E16" s="107"/>
      <c r="F16" s="108"/>
      <c r="G16" s="18">
        <f>($G$13+$G$14)*(1+'Fane 2.1. Økonomisk ramme 2018'!E19/100)*$G$15/100</f>
        <v>253418.1878953859</v>
      </c>
      <c r="H16" s="38" t="s">
        <v>4</v>
      </c>
      <c r="I16" s="2"/>
    </row>
    <row r="17" spans="1:9" x14ac:dyDescent="0.25">
      <c r="A17" s="2"/>
      <c r="B17" s="109" t="s">
        <v>52</v>
      </c>
      <c r="C17" s="110"/>
      <c r="D17" s="110"/>
      <c r="E17" s="110"/>
      <c r="F17" s="111"/>
      <c r="G17" s="21">
        <f>G12+G16</f>
        <v>386281.37610782939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73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9" t="s">
        <v>54</v>
      </c>
      <c r="C8" s="110"/>
      <c r="D8" s="110"/>
      <c r="E8" s="110"/>
      <c r="F8" s="110"/>
      <c r="G8" s="110"/>
      <c r="H8" s="111"/>
      <c r="I8" s="2"/>
    </row>
    <row r="9" spans="1:9" x14ac:dyDescent="0.25">
      <c r="A9" s="2"/>
      <c r="B9" s="99" t="s">
        <v>42</v>
      </c>
      <c r="C9" s="100"/>
      <c r="D9" s="100"/>
      <c r="E9" s="100"/>
      <c r="F9" s="101"/>
      <c r="G9" s="27">
        <v>-15103029</v>
      </c>
      <c r="H9" s="23" t="s">
        <v>4</v>
      </c>
      <c r="I9" s="2"/>
    </row>
    <row r="10" spans="1:9" x14ac:dyDescent="0.25">
      <c r="A10" s="2"/>
      <c r="B10" s="99" t="s">
        <v>122</v>
      </c>
      <c r="C10" s="100"/>
      <c r="D10" s="100"/>
      <c r="E10" s="100"/>
      <c r="F10" s="101"/>
      <c r="G10" s="27">
        <v>-10592719.486772487</v>
      </c>
      <c r="H10" s="23" t="s">
        <v>4</v>
      </c>
      <c r="I10" s="2"/>
    </row>
    <row r="11" spans="1:9" x14ac:dyDescent="0.25">
      <c r="A11" s="2"/>
      <c r="B11" s="124" t="s">
        <v>45</v>
      </c>
      <c r="C11" s="125"/>
      <c r="D11" s="125"/>
      <c r="E11" s="125"/>
      <c r="F11" s="126"/>
      <c r="G11" s="57">
        <f>G9-G10</f>
        <v>-4510309.5132275131</v>
      </c>
      <c r="H11" s="39" t="s">
        <v>4</v>
      </c>
      <c r="I11" s="2"/>
    </row>
    <row r="12" spans="1:9" x14ac:dyDescent="0.25">
      <c r="A12" s="2"/>
      <c r="B12" s="99" t="s">
        <v>43</v>
      </c>
      <c r="C12" s="100"/>
      <c r="D12" s="100"/>
      <c r="E12" s="100"/>
      <c r="F12" s="101"/>
      <c r="G12" s="27">
        <v>3</v>
      </c>
      <c r="H12" s="23" t="s">
        <v>127</v>
      </c>
      <c r="I12" s="2"/>
    </row>
    <row r="13" spans="1:9" x14ac:dyDescent="0.25">
      <c r="A13" s="2"/>
      <c r="B13" s="109" t="s">
        <v>41</v>
      </c>
      <c r="C13" s="110"/>
      <c r="D13" s="110"/>
      <c r="E13" s="110"/>
      <c r="F13" s="111"/>
      <c r="G13" s="21">
        <f>IF(G12 = 0,0,G11/G12)</f>
        <v>-1503436.5044091709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74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9" t="s">
        <v>75</v>
      </c>
      <c r="C8" s="110"/>
      <c r="D8" s="110"/>
      <c r="E8" s="110"/>
      <c r="F8" s="110"/>
      <c r="G8" s="11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7" t="s">
        <v>3</v>
      </c>
      <c r="G9" s="127"/>
      <c r="H9" s="2"/>
    </row>
    <row r="10" spans="1:8" x14ac:dyDescent="0.25">
      <c r="A10" s="2"/>
      <c r="B10" s="47" t="s">
        <v>149</v>
      </c>
      <c r="C10" s="41">
        <v>2016</v>
      </c>
      <c r="D10" s="28">
        <v>5</v>
      </c>
      <c r="E10" s="27">
        <v>26437.14</v>
      </c>
      <c r="F10" s="12">
        <f>E10/D10</f>
        <v>5287.4279999999999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5</v>
      </c>
      <c r="E11" s="27">
        <v>241979.94</v>
      </c>
      <c r="F11" s="12">
        <f t="shared" ref="F11:F17" si="0">E11/D11</f>
        <v>48395.987999999998</v>
      </c>
      <c r="G11" s="23" t="s">
        <v>4</v>
      </c>
      <c r="H11" s="2"/>
    </row>
    <row r="12" spans="1:8" ht="26.25" x14ac:dyDescent="0.25">
      <c r="A12" s="2"/>
      <c r="B12" s="47" t="s">
        <v>151</v>
      </c>
      <c r="C12" s="41">
        <v>2016</v>
      </c>
      <c r="D12" s="28">
        <v>50</v>
      </c>
      <c r="E12" s="27">
        <v>4136747.96</v>
      </c>
      <c r="F12" s="12">
        <f t="shared" si="0"/>
        <v>82734.959199999998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75</v>
      </c>
      <c r="E13" s="27">
        <v>1782252.13</v>
      </c>
      <c r="F13" s="12">
        <f t="shared" si="0"/>
        <v>23763.361733333331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50</v>
      </c>
      <c r="E14" s="27">
        <v>2625727.23</v>
      </c>
      <c r="F14" s="12">
        <f t="shared" si="0"/>
        <v>52514.544600000001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20805.3</v>
      </c>
      <c r="F15" s="12">
        <f t="shared" si="0"/>
        <v>277.404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20</v>
      </c>
      <c r="E16" s="27">
        <v>1242404.02</v>
      </c>
      <c r="F16" s="12">
        <f t="shared" si="0"/>
        <v>62120.201000000001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75</v>
      </c>
      <c r="E17" s="27">
        <v>113554.53</v>
      </c>
      <c r="F17" s="12">
        <f t="shared" si="0"/>
        <v>1514.0604000000001</v>
      </c>
      <c r="G17" s="23" t="s">
        <v>4</v>
      </c>
      <c r="H17" s="2"/>
    </row>
    <row r="18" spans="1:8" x14ac:dyDescent="0.25">
      <c r="A18" s="2"/>
      <c r="B18" s="109" t="s">
        <v>76</v>
      </c>
      <c r="C18" s="110"/>
      <c r="D18" s="110"/>
      <c r="E18" s="111"/>
      <c r="F18" s="21">
        <f>SUM(F10:F17)</f>
        <v>276607.94693333335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2017-10-13T11:56:58Z</dcterms:modified>
</cp:coreProperties>
</file>