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6" i="16"/>
  <c r="J3" i="24"/>
  <c r="E5" i="16"/>
  <c r="G3" i="16" s="1"/>
  <c r="E6" i="16"/>
  <c r="D5" i="16"/>
  <c r="M3" i="24" l="1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<sst xmlns="http://schemas.openxmlformats.org/spreadsheetml/2006/main" count="116" uniqueCount="79">
  <si>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</si>
  <si>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</si>
  <si>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</si>
  <si>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</si>
  <si>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</si>
  <si>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</si>
  <si>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</si>
  <si>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</si>
  <si>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</si>
  <si>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</si>
  <si>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</si>
  <si>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</si>
  <si>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</si>
  <si>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</si>
  <si>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</si>
  <si>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</si>
  <si>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</si>
  <si>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</si>
  <si>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</si>
  <si>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</si>
  <si>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</si>
  <si>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</si>
  <si>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</si>
  <si>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 xml:space="preserve">Dokumenteret spildevandssikkerhed (DSS)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</si>
  <si>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</si>
  <si>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</si>
  <si>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</si>
  <si>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</si>
  <si>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</si>
  <si>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</si>
  <si>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</si>
  <si>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</si>
  <si>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</si>
  <si>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</si>
  <si>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</si>
  <si>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</si>
  <si>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</si>
  <si>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</si>
  <si>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</si>
  <si>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</si>
  <si>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</si>
  <si>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</si>
  <si>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</si>
  <si>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</si>
  <si>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</si>
  <si>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</si>
  <si>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</si>
  <si>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</si>
  <si>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</si>
  <si>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</si>
  <si>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</si>
  <si>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</si>
  <si>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</si>
  <si>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</si>
  <si>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</si>
  <si>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</si>
  <si>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</si>
  <si>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</si>
  <si>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</si>
  <si>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</si>
  <si>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</si>
  <si>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</si>
  <si>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</si>
  <si>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</si>
  <si>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</si>
  <si>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</si>
  <si>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</si>
  <si>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</si>
  <si>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</si>
  <si>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</si>
  <si>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</si>
  <si>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</si>
  <si>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</si>
  <si>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</si>
  <si>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Lørenskogvej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</si>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</sst>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6001667.0765586672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134988.8168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40375.155769333331</v>
      </c>
      <c r="C4" t="s">
        <v>11</v>
      </c>
    </row>
    <row r="5" spans="1:3" s="26" customFormat="1" x14ac:dyDescent="0.25">
      <c r="A5" s="3" t="s">
        <v>12</v>
      </c>
      <c r="B5" s="48">
        <f>SUM(B2:B4)</f>
        <v>6177031.0491280006</v>
      </c>
      <c r="C5" s="62" t="s">
        <v>11</v>
      </c>
    </row>
    <row r="6" spans="1:3" x14ac:dyDescent="0.25">
      <c r="A6" s="47" t="s">
        <v>0</v>
      </c>
      <c r="B6" s="38">
        <f>Investeringer!E3</f>
        <v>11960271.118659306</v>
      </c>
      <c r="C6" s="23" t="s">
        <v>11</v>
      </c>
    </row>
    <row r="7" spans="1:3" x14ac:dyDescent="0.25">
      <c r="A7" s="4" t="s">
        <v>1</v>
      </c>
      <c r="B7" s="35">
        <f>Investeringer!F3</f>
        <v>1658943.6014158281</v>
      </c>
      <c r="C7" t="s">
        <v>11</v>
      </c>
    </row>
    <row r="8" spans="1:3" x14ac:dyDescent="0.25">
      <c r="A8" s="4" t="s">
        <v>2</v>
      </c>
      <c r="B8" s="35">
        <f>Investeringer!G3</f>
        <v>277663.06658636121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178530.80811866667</v>
      </c>
      <c r="C9" t="s">
        <v>11</v>
      </c>
    </row>
    <row r="10" spans="1:3" s="22" customFormat="1" x14ac:dyDescent="0.25">
      <c r="A10" s="3" t="s">
        <v>48</v>
      </c>
      <c r="B10" s="48">
        <f>SUM(B6:B9)</f>
        <v>14075408.594780162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13096449</v>
      </c>
      <c r="C11" t="s">
        <v>11</v>
      </c>
    </row>
    <row r="12" spans="1:3" s="22" customFormat="1" x14ac:dyDescent="0.25">
      <c r="A12" s="4" t="s">
        <v>50</v>
      </c>
      <c r="B12" s="35">
        <f>SUM(Medfinansiering!B:B)</f>
        <v>184969.28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13281418.279999999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61</v>
      </c>
      <c r="B15" s="37">
        <f>SUM(B5,B10,B13)</f>
        <v>33533857.923908159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53</v>
      </c>
      <c r="B17" s="37">
        <f>B15*Pristalsregulering!C8*Pristalsregulering!C9</f>
        <v>33830690.915447526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54</v>
      </c>
      <c r="F1" s="52" t="s">
        <v>64</v>
      </c>
      <c r="G1" s="52" t="s">
        <v>72</v>
      </c>
      <c r="H1" s="52" t="s">
        <v>65</v>
      </c>
      <c r="I1" s="52" t="s">
        <v>49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4838996</v>
      </c>
      <c r="C2" s="49">
        <v>0</v>
      </c>
      <c r="D2" s="49">
        <f>B2+C2</f>
        <v>4838996</v>
      </c>
      <c r="E2" s="50">
        <f>D2</f>
        <v>4838996</v>
      </c>
      <c r="F2" s="49">
        <v>7562087.2667971915</v>
      </c>
      <c r="G2" s="49">
        <v>426662.05679999996</v>
      </c>
      <c r="H2" s="49">
        <f>F2-G2</f>
        <v>7135425.2099971911</v>
      </c>
      <c r="I2" s="49">
        <f>AVERAGEIF(E2:E4,"&lt;&gt;0")</f>
        <v>6001667.0765586672</v>
      </c>
      <c r="J2" s="49">
        <v>5011181.3217310961</v>
      </c>
      <c r="K2" s="39">
        <f>IF(H2&gt;I2,IF(I2&gt;J2,I2,J2),H2)</f>
        <v>6001667.0765586672</v>
      </c>
    </row>
    <row r="3" spans="1:11" s="23" customFormat="1" x14ac:dyDescent="0.25">
      <c r="A3" s="28">
        <v>2014</v>
      </c>
      <c r="B3" s="49">
        <v>6213771</v>
      </c>
      <c r="C3" s="49"/>
      <c r="D3" s="49">
        <f t="shared" ref="D3:D4" si="0">B3+C3</f>
        <v>6213771</v>
      </c>
      <c r="E3" s="50">
        <f>D3*Pristalsregulering!C7</f>
        <v>6218742.0167999994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6839123</v>
      </c>
      <c r="C4" s="49"/>
      <c r="D4" s="49">
        <f t="shared" si="0"/>
        <v>6839123</v>
      </c>
      <c r="E4" s="50">
        <f>D4*Pristalsregulering!$C$6*Pristalsregulering!$C$7</f>
        <v>6947263.2128759995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68" width="0" hidden="1" customWidth="1"/>
    <col min="69" max="69" width="9.140625" hidden="1" customWidth="1"/>
    <col min="70" max="106" width="0" hidden="1" customWidth="1"/>
    <col min="107" max="107" width="9.140625" hidden="1" customWidth="1"/>
    <col min="108" max="141" width="0" hidden="1" customWidth="1"/>
    <col min="142" max="142" width="9.140625" hidden="1" customWidth="1"/>
    <col min="143" max="179" width="0" hidden="1" customWidth="1"/>
    <col min="180" max="180" width="9.140625" hidden="1" customWidth="1"/>
    <col min="181" max="217" width="0" hidden="1" customWidth="1"/>
    <col min="218" max="218" width="9.140625" hidden="1" customWidth="1"/>
    <col min="219" max="252" width="0" hidden="1" customWidth="1"/>
    <col min="253" max="253" width="9.140625" hidden="1" customWidth="1"/>
    <col min="254" max="290" width="0" hidden="1" customWidth="1"/>
    <col min="291" max="291" width="9.140625" hidden="1" customWidth="1"/>
    <col min="292" max="328" width="0" hidden="1" customWidth="1"/>
    <col min="329" max="329" width="9.140625" hidden="1" customWidth="1"/>
    <col min="330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75</v>
      </c>
      <c r="C1" s="33"/>
      <c r="D1" s="65" t="s">
        <v>76</v>
      </c>
      <c r="E1" s="10"/>
      <c r="F1" s="65" t="s">
        <v>77</v>
      </c>
      <c r="G1" s="10"/>
      <c r="H1" s="65"/>
    </row>
    <row r="2" spans="1:8" ht="30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4">
        <v>0</v>
      </c>
      <c r="C3" s="74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105150.55679999999</v>
      </c>
      <c r="G3" s="38">
        <f>IF(E4=0,0,AVERAGEIF(E4:E6,"&lt;&gt;0"))+E3</f>
        <v>29838.26</v>
      </c>
      <c r="H3" s="57">
        <f>SUM(F3:G3)</f>
        <v>134988.8168</v>
      </c>
    </row>
    <row r="4" spans="1:8" x14ac:dyDescent="0.25">
      <c r="A4" s="28">
        <v>2015</v>
      </c>
      <c r="B4" s="35">
        <v>122589</v>
      </c>
      <c r="C4" s="35">
        <v>20245</v>
      </c>
      <c r="D4" s="45">
        <f>B4</f>
        <v>122589</v>
      </c>
      <c r="E4" s="35">
        <f>C4</f>
        <v>20245</v>
      </c>
      <c r="F4" s="45"/>
      <c r="G4" s="38"/>
      <c r="H4" s="54"/>
    </row>
    <row r="5" spans="1:8" x14ac:dyDescent="0.25">
      <c r="A5" s="28">
        <v>2014</v>
      </c>
      <c r="B5" s="35">
        <v>87642</v>
      </c>
      <c r="C5" s="35">
        <v>39400</v>
      </c>
      <c r="D5" s="45">
        <f>B5*Pristalsregulering!$C$7</f>
        <v>87712.113599999997</v>
      </c>
      <c r="E5" s="35">
        <f>C5*Pristalsregulering!$C$7</f>
        <v>39431.519999999997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55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3200</v>
      </c>
      <c r="C3" s="42">
        <v>17117</v>
      </c>
      <c r="D3" s="42">
        <v>0</v>
      </c>
      <c r="E3" s="41">
        <f>B3</f>
        <v>3200</v>
      </c>
      <c r="F3" s="42">
        <f t="shared" ref="F3:G3" si="0">C3</f>
        <v>17117</v>
      </c>
      <c r="G3" s="43">
        <f t="shared" si="0"/>
        <v>0</v>
      </c>
      <c r="H3" s="44">
        <f>IF(E3=0,0,AVERAGEIF(E3:E5,"&lt;&gt;0"))+IF(F3=0,0,AVERAGEIF(F3:F5,"&lt;&gt;0"))+IF(G3=0,0,AVERAGEIF(G3:G5,"&lt;&gt;0"))</f>
        <v>40375.155769333331</v>
      </c>
    </row>
    <row r="4" spans="1:8" x14ac:dyDescent="0.25">
      <c r="A4" s="31">
        <v>2014</v>
      </c>
      <c r="B4" s="41">
        <v>11124</v>
      </c>
      <c r="C4" s="42">
        <v>39200</v>
      </c>
      <c r="D4" s="42">
        <v>0</v>
      </c>
      <c r="E4" s="41">
        <f>B4*Pristalsregulering!$C$7</f>
        <v>11132.8992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12059</v>
      </c>
      <c r="C5" s="42">
        <v>37600</v>
      </c>
      <c r="D5" s="42">
        <v>0</v>
      </c>
      <c r="E5" s="41">
        <f>B5*Pristalsregulering!$C$7*Pristalsregulering!$C$6</f>
        <v>12249.676907999998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8">
        <v>10985838.604040978</v>
      </c>
      <c r="C3" s="38">
        <v>1609950.8033333335</v>
      </c>
      <c r="D3" s="40">
        <v>276607.94693333301</v>
      </c>
      <c r="E3" s="35">
        <f>B3*Pristalsregulering!C2*Pristalsregulering!C3*Pristalsregulering!C4*Pristalsregulering!C5*Pristalsregulering!C6*Pristalsregulering!C7</f>
        <v>11960271.118659306</v>
      </c>
      <c r="F3" s="35">
        <v>1658943.6014158281</v>
      </c>
      <c r="G3" s="35">
        <f xml:space="preserve"> D3/Pristalsregulering!$C$8</f>
        <v>277663.06658636121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56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174216</v>
      </c>
      <c r="D3" s="38">
        <v>773</v>
      </c>
      <c r="E3" s="40">
        <v>0</v>
      </c>
      <c r="F3" s="38">
        <f>B3</f>
        <v>0</v>
      </c>
      <c r="G3" s="38">
        <f>C3</f>
        <v>174216</v>
      </c>
      <c r="H3" s="38">
        <f>D3</f>
        <v>773</v>
      </c>
      <c r="I3" s="40">
        <f>E3</f>
        <v>0</v>
      </c>
      <c r="J3" s="42">
        <f>AVERAGE(F3:F5)</f>
        <v>0</v>
      </c>
      <c r="K3" s="42">
        <f>G3</f>
        <v>174216</v>
      </c>
      <c r="L3" s="43">
        <f>AVERAGE(H3:H5)+AVERAGE(I3:I5)</f>
        <v>4314.8081186666659</v>
      </c>
      <c r="M3" s="44">
        <f>SUM(J3:L3)</f>
        <v>178530.80811866667</v>
      </c>
      <c r="N3" s="23"/>
    </row>
    <row r="4" spans="1:14" x14ac:dyDescent="0.25">
      <c r="A4" s="28">
        <v>2014</v>
      </c>
      <c r="B4" s="45">
        <v>0</v>
      </c>
      <c r="C4" s="38">
        <v>196763</v>
      </c>
      <c r="D4" s="38">
        <v>5754</v>
      </c>
      <c r="E4" s="40">
        <v>0</v>
      </c>
      <c r="F4" s="38">
        <f>IF(B4="","",B4*Pristalsregulering!$C$7)</f>
        <v>0</v>
      </c>
      <c r="G4" s="38">
        <f>IF(C4="","",C4*Pristalsregulering!$C$7)</f>
        <v>196920.41039999999</v>
      </c>
      <c r="H4" s="38">
        <f>IF(D4="","",D4*Pristalsregulering!$C$7)</f>
        <v>5758.6031999999996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182314</v>
      </c>
      <c r="D5" s="38">
        <v>6313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185196.74896799997</v>
      </c>
      <c r="H5" s="38">
        <f>IF(D5="","",D5*Pristalsregulering!$C$7*Pristalsregulering!$C$6)</f>
        <v>6412.8211559999982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13063926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13096449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58</v>
      </c>
      <c r="B1" s="64" t="s">
        <v>59</v>
      </c>
    </row>
    <row r="2" spans="1:2" x14ac:dyDescent="0.25">
      <c r="A2" s="23" t="s">
        <v>74</v>
      </c>
      <c r="B2" s="35">
        <v>184969.28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2017-10-13T11:56:59Z</dcterms:modified>
</cp:coreProperties>
</file>