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17" i="11" l="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9" i="2"/>
  <c r="E15" i="13"/>
  <c r="F11" i="11"/>
  <c r="F18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19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<sst xmlns="http://schemas.openxmlformats.org/spreadsheetml/2006/main" count="352" uniqueCount="182">
  <si>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</si>
  <si>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</si>
  <si>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</si>
  <si>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</si>
  <si>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</si>
  <si>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</si>
  <si>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</si>
  <si>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</si>
  <si>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</si>
  <si>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</si>
  <si>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</si>
  <si>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</si>
  <si>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</si>
  <si>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</si>
  <si>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</si>
  <si>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</si>
  <si>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</si>
  <si>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</si>
  <si>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</si>
  <si>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</si>
  <si>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</si>
  <si>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</si>
  <si>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</si>
  <si>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</si>
  <si>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</si>
  <si>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</si>
  <si>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</si>
  <si>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</si>
  <si>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</si>
  <si>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</si>
  <si>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</si>
  <si>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</si>
  <si>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</si>
  <si>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</si>
  <si>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</si>
  <si>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</si>
  <si>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</si>
  <si>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</si>
  <si>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</si>
  <si>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</si>
  <si>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</si>
  <si>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</si>
  <si>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</si>
  <si>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</si>
  <si>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</si>
  <si>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</si>
  <si>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</si>
  <si>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</si>
  <si>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</si>
  <si>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</si>
  <si>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</si>
  <si>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</si>
  <si>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</si>
  <si>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</si>
  <si>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</si>
  <si>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</si>
  <si>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</si>
  <si>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</si>
  <si>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</si>
  <si>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</si>
  <si>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</si>
  <si>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</si>
  <si>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</si>
  <si>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</si>
  <si>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</si>
  <si>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</si>
  <si>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</si>
  <si>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</si>
  <si>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</si>
  <si>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</si>
  <si>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</si>
  <si>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</si>
  <si>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</si>
  <si>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</si>
  <si>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</si>
  <si>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</si>
  <si>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</si>
  <si>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</si>
  <si>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</si>
  <si>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</si>
  <si>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</si>
  <si>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</si>
  <si>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</si>
  <si>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</si>
  <si>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</si>
  <si>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</si>
  <si>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</si>
  <si>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</si>
  <si>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</si>
  <si>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</si>
  <si>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</si>
  <si>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</si>
  <si>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</si>
  <si>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</si>
  <si>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</si>
  <si>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</si>
  <si>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</si>
  <si>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</si>
  <si>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</si>
  <si>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</si>
  <si>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</si>
  <si>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</si>
  <si>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</si>
  <si>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</si>
  <si>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</si>
  <si>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</si>
  <si>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</si>
  <si>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</si>
  <si>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</si>
  <si>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</si>
  <si>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</si>
  <si>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</si>
  <si>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</si>
  <si>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</si>
  <si>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</si>
  <si>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</si>
  <si>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</si>
  <si>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</si>
  <si>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</si>
  <si>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</si>
  <si>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</si>
  <si>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</si>
  <si>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</si>
  <si>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</si>
  <si>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</si>
  <si>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</si>
  <si>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</si>
  <si>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</si>
  <si>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</si>
  <si>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</si>
  <si>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</si>
  <si>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</si>
  <si>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</si>
  <si>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</si>
  <si>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</si>
  <si>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</si>
  <si>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</si>
  <si>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</si>
  <si>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</si>
  <si>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</si>
  <si>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</si>
  <si>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</si>
  <si>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</si>
  <si>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</si>
  <si>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</si>
  <si>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</si>
  <si>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Ø 200 mm &lt; Ledningsnet ≤ Ø 500 mm</t>
  </si>
  <si>
    <t>Ø 500 mm &lt; Ledningsnet ≤ Ø 800 mm</t>
  </si>
  <si>
    <t>Brønde</t>
  </si>
  <si>
    <t>Stik</t>
  </si>
  <si>
    <t>Jordbassin Klasse B</t>
  </si>
  <si>
    <t>Indløb-/udløbsarrangement</t>
  </si>
  <si>
    <t>Pumpestationer m. overbygning (&lt; 20 m2), Konstruktioner</t>
  </si>
  <si>
    <t>Pumpestationer m. overbygning (&lt; 20 m2), Mek/EL</t>
  </si>
  <si>
    <t>Pumpestationer m. overbygning (&lt; 20 m2),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</si>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</sst>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171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6517889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8716800</v>
      </c>
      <c r="H10" s="23" t="s">
        <v>4</v>
      </c>
      <c r="I10" s="2"/>
    </row>
    <row r="11" spans="1:9" x14ac:dyDescent="0.25">
      <c r="A11" s="2"/>
      <c r="B11" s="96" t="s">
        <v>172</v>
      </c>
      <c r="C11" s="97"/>
      <c r="D11" s="97"/>
      <c r="E11" s="97"/>
      <c r="F11" s="98"/>
      <c r="G11" s="21">
        <f>G9-G10</f>
        <v>-2198911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173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986984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680000</v>
      </c>
      <c r="H16" s="23" t="s">
        <v>4</v>
      </c>
      <c r="I16" s="2"/>
    </row>
    <row r="17" spans="1:9" x14ac:dyDescent="0.25">
      <c r="A17" s="2"/>
      <c r="B17" s="96" t="s">
        <v>173</v>
      </c>
      <c r="C17" s="97"/>
      <c r="D17" s="97"/>
      <c r="E17" s="97"/>
      <c r="F17" s="98"/>
      <c r="G17" s="21">
        <f>G15-G16</f>
        <v>306984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174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87279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427675</v>
      </c>
      <c r="H22" s="23" t="s">
        <v>4</v>
      </c>
      <c r="I22" s="2"/>
    </row>
    <row r="23" spans="1:9" x14ac:dyDescent="0.25">
      <c r="A23" s="2"/>
      <c r="B23" s="96" t="s">
        <v>174</v>
      </c>
      <c r="C23" s="97"/>
      <c r="D23" s="97"/>
      <c r="E23" s="97"/>
      <c r="F23" s="98"/>
      <c r="G23" s="21">
        <f>G21-G22</f>
        <v>-340396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175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56186</v>
      </c>
      <c r="H28" s="23" t="s">
        <v>4</v>
      </c>
      <c r="I28" s="2"/>
    </row>
    <row r="29" spans="1:9" ht="15" customHeight="1" x14ac:dyDescent="0.25">
      <c r="A29" s="2"/>
      <c r="B29" s="101" t="s">
        <v>175</v>
      </c>
      <c r="C29" s="102"/>
      <c r="D29" s="102"/>
      <c r="E29" s="102"/>
      <c r="F29" s="103"/>
      <c r="G29" s="21">
        <f>G27-G28</f>
        <v>-56186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2016'!F19</f>
        <v>282126.15666666668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205134.37666666668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76991.78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36707903.009252168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12471937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1658348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105540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490733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14726558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7850948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7850948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-2573826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-1899809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-18103872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-22577507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-1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2906362</v>
      </c>
      <c r="F30" s="38" t="s">
        <v>4</v>
      </c>
      <c r="G30" s="18">
        <f>-$E$30</f>
        <v>-2906362</v>
      </c>
      <c r="H30" s="38" t="s">
        <v>4</v>
      </c>
      <c r="I30" s="2"/>
    </row>
    <row r="31" spans="1:9" x14ac:dyDescent="0.25">
      <c r="A31" s="2"/>
      <c r="B31" s="115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27942992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1423418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29366410</v>
      </c>
      <c r="F35" s="38" t="s">
        <v>4</v>
      </c>
      <c r="G35" s="18">
        <f>-E35</f>
        <v>-29366410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4435131.0092521682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168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116" t="s">
        <v>169</v>
      </c>
      <c r="C10" s="117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164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181</v>
      </c>
      <c r="C16" s="90"/>
      <c r="D16" s="90"/>
      <c r="E16" s="91"/>
      <c r="F16" s="114" t="s">
        <v>165</v>
      </c>
      <c r="G16" s="114"/>
      <c r="H16" s="2"/>
    </row>
    <row r="17" spans="1:8" x14ac:dyDescent="0.25">
      <c r="A17" s="2"/>
      <c r="B17" s="86" t="s">
        <v>177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166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167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35" t="s">
        <v>176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33035835.287174501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9975027.6323604397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omk.'!G20</f>
        <v>-3438940.3787200013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179</v>
      </c>
      <c r="C12" s="49"/>
      <c r="D12" s="50"/>
      <c r="E12" s="12">
        <f>'Fane 5. Individuelt eff.krav'!G10</f>
        <v>-732713.06964543834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164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505123.18217915861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454376.72480818152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423791.19803178863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170</v>
      </c>
      <c r="C22" s="94"/>
      <c r="D22" s="95"/>
      <c r="E22" s="18">
        <f>SUM(E9,E11:E17,E19)-SUM(E20:E21)</f>
        <v>28491137.098148253</v>
      </c>
      <c r="F22" s="19" t="s">
        <v>4</v>
      </c>
      <c r="G22" s="18">
        <f>E22</f>
        <v>28491137.098148253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546977.62169312174</v>
      </c>
      <c r="F24" s="19" t="s">
        <v>4</v>
      </c>
      <c r="G24" s="18">
        <f>E24</f>
        <v>546977.62169312174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-2198911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306984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-340396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-56186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76991.78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-2211517.2200000002</v>
      </c>
      <c r="F31" s="19" t="s">
        <v>4</v>
      </c>
      <c r="G31" s="18">
        <f>E31</f>
        <v>-2211517.2200000002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4435131.0092521682</v>
      </c>
      <c r="F33" s="19" t="s">
        <v>4</v>
      </c>
      <c r="G33" s="18">
        <f>E33</f>
        <v>4435131.0092521682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31261728.509093545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28491137.098148253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6650468.7805791469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498594.89921759441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444457.60026253131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423302.74525080447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170</v>
      </c>
      <c r="C14" s="94"/>
      <c r="D14" s="95"/>
      <c r="E14" s="18">
        <f>$E$9+$E$11-$E$12-$E$13</f>
        <v>28121971.651852511</v>
      </c>
      <c r="F14" s="19" t="s">
        <v>4</v>
      </c>
      <c r="G14" s="18">
        <f>E14</f>
        <v>28121971.651852511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546977.62169312174</v>
      </c>
      <c r="F16" s="19" t="s">
        <v>4</v>
      </c>
      <c r="G16" s="18">
        <f>E16</f>
        <v>546977.62169312174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28668949.273545634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5837223.4770109607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17223584.177803099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9975027.6323604397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33035835.287174501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155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156</v>
      </c>
      <c r="C11" s="106"/>
      <c r="D11" s="106"/>
      <c r="E11" s="56">
        <v>0</v>
      </c>
      <c r="F11" s="23" t="s">
        <v>4</v>
      </c>
      <c r="G11" s="27">
        <v>0</v>
      </c>
      <c r="H11" s="23" t="s">
        <v>4</v>
      </c>
      <c r="I11" s="2"/>
    </row>
    <row r="12" spans="1:9" x14ac:dyDescent="0.25">
      <c r="A12" s="2"/>
      <c r="B12" s="105" t="s">
        <v>157</v>
      </c>
      <c r="C12" s="106"/>
      <c r="D12" s="106"/>
      <c r="E12" s="56">
        <v>992078.7206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158</v>
      </c>
      <c r="C13" s="106"/>
      <c r="D13" s="106"/>
      <c r="E13" s="56">
        <v>32399.4126</v>
      </c>
      <c r="F13" s="23" t="s">
        <v>4</v>
      </c>
      <c r="G13" s="27">
        <v>40416</v>
      </c>
      <c r="H13" s="23" t="s">
        <v>4</v>
      </c>
      <c r="I13" s="2"/>
    </row>
    <row r="14" spans="1:9" x14ac:dyDescent="0.25">
      <c r="A14" s="2"/>
      <c r="B14" s="105" t="s">
        <v>159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160</v>
      </c>
      <c r="C15" s="106"/>
      <c r="D15" s="106"/>
      <c r="E15" s="56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5" t="s">
        <v>161</v>
      </c>
      <c r="C16" s="106"/>
      <c r="D16" s="106"/>
      <c r="E16" s="56">
        <v>8769482.8508000001</v>
      </c>
      <c r="F16" s="23" t="s">
        <v>4</v>
      </c>
      <c r="G16" s="27">
        <v>6429723</v>
      </c>
      <c r="H16" s="23" t="s">
        <v>4</v>
      </c>
      <c r="I16" s="2"/>
    </row>
    <row r="17" spans="1:9" x14ac:dyDescent="0.25">
      <c r="A17" s="2"/>
      <c r="B17" s="105" t="s">
        <v>162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28.5" customHeight="1" x14ac:dyDescent="0.25">
      <c r="A18" s="2"/>
      <c r="B18" s="107" t="s">
        <v>163</v>
      </c>
      <c r="C18" s="107"/>
      <c r="D18" s="107"/>
      <c r="E18" s="56">
        <v>55972</v>
      </c>
      <c r="F18" s="23" t="s">
        <v>4</v>
      </c>
      <c r="G18" s="27">
        <v>0</v>
      </c>
      <c r="H18" s="23" t="s">
        <v>4</v>
      </c>
      <c r="I18" s="2"/>
    </row>
    <row r="19" spans="1:9" x14ac:dyDescent="0.25">
      <c r="A19" s="2"/>
      <c r="B19" s="96" t="s">
        <v>134</v>
      </c>
      <c r="C19" s="97"/>
      <c r="D19" s="97"/>
      <c r="E19" s="97"/>
      <c r="F19" s="98"/>
      <c r="G19" s="21">
        <f>SUM(G10:G18)-SUM(E10:E18)</f>
        <v>-3379793.9840000011</v>
      </c>
      <c r="H19" s="22" t="s">
        <v>4</v>
      </c>
      <c r="I19" s="2"/>
    </row>
    <row r="20" spans="1:9" x14ac:dyDescent="0.25">
      <c r="A20" s="2"/>
      <c r="B20" s="96" t="s">
        <v>135</v>
      </c>
      <c r="C20" s="97"/>
      <c r="D20" s="97"/>
      <c r="E20" s="97"/>
      <c r="F20" s="98"/>
      <c r="G20" s="21">
        <f>G19*(1+'Fane 2.1. Økonomisk ramme 2018'!E18/100)</f>
        <v>-3438940.3787200013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23060807.654814061</v>
      </c>
      <c r="H9" s="23" t="s">
        <v>4</v>
      </c>
      <c r="I9" s="2"/>
    </row>
    <row r="10" spans="1:9" x14ac:dyDescent="0.25">
      <c r="A10" s="2"/>
      <c r="B10" s="51" t="s">
        <v>179</v>
      </c>
      <c r="C10" s="49"/>
      <c r="D10" s="49"/>
      <c r="E10" s="49"/>
      <c r="F10" s="50"/>
      <c r="G10" s="12">
        <v>-732713.06964543834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2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454376.72480818152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8" t="s">
        <v>47</v>
      </c>
      <c r="C9" s="109"/>
      <c r="D9" s="109"/>
      <c r="E9" s="109"/>
      <c r="F9" s="110"/>
      <c r="G9" s="12">
        <f>'Fane 3. Korrigeret grundlag'!G9+(SUM('Fane 2.1. Økonomisk ramme 2018'!E13,'Fane 2.1. Økonomisk ramme 2018'!E16))</f>
        <v>5837223.4770109607</v>
      </c>
      <c r="H9" s="23" t="s">
        <v>4</v>
      </c>
      <c r="I9" s="2"/>
    </row>
    <row r="10" spans="1:9" x14ac:dyDescent="0.25">
      <c r="A10" s="2"/>
      <c r="B10" s="52" t="s">
        <v>178</v>
      </c>
      <c r="C10" s="53"/>
      <c r="D10" s="53"/>
      <c r="E10" s="53"/>
      <c r="F10" s="54"/>
      <c r="G10" s="12">
        <v>-116899.32828230922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116408.59642662808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17223584.177803099</v>
      </c>
      <c r="H13" s="23" t="s">
        <v>4</v>
      </c>
      <c r="I13" s="2"/>
    </row>
    <row r="14" spans="1:9" x14ac:dyDescent="0.25">
      <c r="A14" s="2"/>
      <c r="B14" s="51" t="s">
        <v>180</v>
      </c>
      <c r="C14" s="49"/>
      <c r="D14" s="49"/>
      <c r="E14" s="49"/>
      <c r="F14" s="50"/>
      <c r="G14" s="12">
        <v>-156017.90924520482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307382.60160516057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423791.19803178863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5492796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3851863.1349206348</v>
      </c>
      <c r="H10" s="23" t="s">
        <v>4</v>
      </c>
      <c r="I10" s="2"/>
    </row>
    <row r="11" spans="1:9" x14ac:dyDescent="0.25">
      <c r="A11" s="2"/>
      <c r="B11" s="111" t="s">
        <v>45</v>
      </c>
      <c r="C11" s="112"/>
      <c r="D11" s="112"/>
      <c r="E11" s="112"/>
      <c r="F11" s="113"/>
      <c r="G11" s="57">
        <f>G9-G10</f>
        <v>1640932.8650793652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3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546977.62169312174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4" t="s">
        <v>3</v>
      </c>
      <c r="G9" s="114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4912027</v>
      </c>
      <c r="F10" s="12">
        <f>E10/D10</f>
        <v>65493.693333333336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2634562</v>
      </c>
      <c r="F11" s="12">
        <f t="shared" ref="F11:F18" si="0">E11/D11</f>
        <v>35127.493333333332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878187</v>
      </c>
      <c r="F12" s="12">
        <f t="shared" si="0"/>
        <v>11709.16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878188</v>
      </c>
      <c r="F13" s="12">
        <f t="shared" si="0"/>
        <v>11709.173333333334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50</v>
      </c>
      <c r="E14" s="27">
        <v>461031</v>
      </c>
      <c r="F14" s="12">
        <f t="shared" si="0"/>
        <v>9220.6200000000008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75</v>
      </c>
      <c r="E15" s="27">
        <v>137711</v>
      </c>
      <c r="F15" s="12">
        <f t="shared" si="0"/>
        <v>1836.1466666666668</v>
      </c>
      <c r="G15" s="23" t="s">
        <v>4</v>
      </c>
      <c r="H15" s="2"/>
    </row>
    <row r="16" spans="1:8" ht="26.25" x14ac:dyDescent="0.25">
      <c r="A16" s="2"/>
      <c r="B16" s="47" t="s">
        <v>152</v>
      </c>
      <c r="C16" s="41">
        <v>2016</v>
      </c>
      <c r="D16" s="28">
        <v>50</v>
      </c>
      <c r="E16" s="27">
        <v>1782181</v>
      </c>
      <c r="F16" s="12">
        <f t="shared" si="0"/>
        <v>35643.620000000003</v>
      </c>
      <c r="G16" s="23" t="s">
        <v>4</v>
      </c>
      <c r="H16" s="2"/>
    </row>
    <row r="17" spans="1:8" ht="26.25" x14ac:dyDescent="0.25">
      <c r="A17" s="2"/>
      <c r="B17" s="47" t="s">
        <v>153</v>
      </c>
      <c r="C17" s="41">
        <v>2016</v>
      </c>
      <c r="D17" s="28">
        <v>20</v>
      </c>
      <c r="E17" s="27">
        <v>1336635</v>
      </c>
      <c r="F17" s="12">
        <f t="shared" si="0"/>
        <v>66831.75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10</v>
      </c>
      <c r="E18" s="27">
        <v>445545</v>
      </c>
      <c r="F18" s="12">
        <f t="shared" si="0"/>
        <v>44554.5</v>
      </c>
      <c r="G18" s="23" t="s">
        <v>4</v>
      </c>
      <c r="H18" s="2"/>
    </row>
    <row r="19" spans="1:8" x14ac:dyDescent="0.25">
      <c r="A19" s="2"/>
      <c r="B19" s="96" t="s">
        <v>76</v>
      </c>
      <c r="C19" s="97"/>
      <c r="D19" s="97"/>
      <c r="E19" s="98"/>
      <c r="F19" s="21">
        <f>SUM(F10:F18)</f>
        <v>282126.15666666668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</sheetData>
  <sheetProtection password="DFE9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2017-10-13T11:57:50Z</dcterms:modified>
</cp:coreProperties>
</file>