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38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9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<sst xmlns="http://schemas.openxmlformats.org/spreadsheetml/2006/main" count="409" uniqueCount="207">
  <si>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</si>
  <si>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</si>
  <si>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</si>
  <si>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</si>
  <si>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</si>
  <si>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</si>
  <si>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</si>
  <si>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</si>
  <si>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</si>
  <si>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</si>
  <si>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</si>
  <si>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</si>
  <si>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</si>
  <si>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</si>
  <si>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</si>
  <si>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</si>
  <si>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</si>
  <si>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</si>
  <si>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</si>
  <si>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</si>
  <si>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</si>
  <si>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</si>
  <si>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</si>
  <si>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</si>
  <si>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</si>
  <si>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</si>
  <si>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</si>
  <si>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</si>
  <si>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</si>
  <si>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</si>
  <si>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</si>
  <si>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</si>
  <si>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</si>
  <si>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</si>
  <si>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</si>
  <si>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</si>
  <si>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</si>
  <si>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</si>
  <si>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</si>
  <si>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</si>
  <si>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</si>
  <si>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</si>
  <si>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</si>
  <si>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</si>
  <si>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</si>
  <si>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</si>
  <si>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</si>
  <si>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</si>
  <si>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</si>
  <si>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</si>
  <si>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</si>
  <si>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</si>
  <si>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</si>
  <si>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</si>
  <si>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</si>
  <si>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</si>
  <si>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</si>
  <si>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</si>
  <si>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</si>
  <si>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</si>
  <si>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</si>
  <si>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</si>
  <si>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</si>
  <si>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</si>
  <si>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</si>
  <si>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</si>
  <si>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</si>
  <si>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</si>
  <si>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</si>
  <si>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</si>
  <si>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</si>
  <si>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</si>
  <si>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</si>
  <si>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</si>
  <si>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</si>
  <si>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</si>
  <si>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</si>
  <si>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</si>
  <si>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</si>
  <si>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</si>
  <si>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</si>
  <si>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</si>
  <si>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</si>
  <si>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</si>
  <si>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</si>
  <si>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</si>
  <si>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</si>
  <si>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</si>
  <si>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</si>
  <si>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</si>
  <si>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</si>
  <si>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</si>
  <si>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</si>
  <si>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</si>
  <si>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</si>
  <si>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</si>
  <si>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</si>
  <si>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</si>
  <si>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</si>
  <si>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</si>
  <si>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</si>
  <si>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</si>
  <si>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</si>
  <si>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</si>
  <si>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</si>
  <si>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</si>
  <si>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</si>
  <si>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</si>
  <si>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</si>
  <si>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</si>
  <si>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</si>
  <si>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</si>
  <si>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</si>
  <si>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</si>
  <si>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</si>
  <si>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</si>
  <si>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</si>
  <si>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</si>
  <si>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</si>
  <si>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</si>
  <si>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</si>
  <si>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</si>
  <si>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</si>
  <si>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</si>
  <si>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</si>
  <si>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</si>
  <si>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</si>
  <si>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</si>
  <si>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</si>
  <si>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</si>
  <si>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</si>
  <si>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</si>
  <si>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</si>
  <si>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</si>
  <si>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</si>
  <si>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</si>
  <si>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</si>
  <si>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</si>
  <si>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</si>
  <si>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</si>
  <si>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</si>
  <si>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</si>
  <si>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</si>
  <si>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</si>
  <si>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</si>
  <si>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</si>
  <si>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</si>
  <si>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</si>
  <si>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</si>
  <si>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</si>
  <si>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</si>
  <si>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</si>
  <si>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</si>
  <si>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Stik</t>
  </si>
  <si>
    <t>Brønde</t>
  </si>
  <si>
    <t>Jordbassin Klasse B</t>
  </si>
  <si>
    <t>Indløb-/udløbsarrangement</t>
  </si>
  <si>
    <t>Pumpestationer i brønde (&lt; 6,25 m2), Mek/EL</t>
  </si>
  <si>
    <t>Pumpeinstallation Miljøklasse A (100-300 l/s) - Mek/EL</t>
  </si>
  <si>
    <t>Pumpestationer m. overbygning (&lt; 20 m2), Konstruktioner</t>
  </si>
  <si>
    <t>Køretøjer, små lastvogne (&lt; 3.500 kg.)</t>
  </si>
  <si>
    <t>Mindre renseanlæg &lt; 5.000 PE uden mulighed for opdeling</t>
  </si>
  <si>
    <t>Indløb med riste, SRO</t>
  </si>
  <si>
    <t>Forafvanding, slam, SRO</t>
  </si>
  <si>
    <t>Tryksatte minipumpestationer (husstandssystemer)</t>
  </si>
  <si>
    <t>Beluftningstanke, SRO</t>
  </si>
  <si>
    <t>Beluftningstanke, Konstruktioner</t>
  </si>
  <si>
    <t>Efterklaringstanke, Mek/El</t>
  </si>
  <si>
    <t>Efterklaringstanke, SRO</t>
  </si>
  <si>
    <t>Efterklaringstanke, Konstruktioner</t>
  </si>
  <si>
    <t>Forklaring, Mek/EL</t>
  </si>
  <si>
    <t>Forklaring, SRO</t>
  </si>
  <si>
    <t>Indløb med riste, Mek/EL</t>
  </si>
  <si>
    <t>Sand- og fedtfang, Kontruktioner</t>
  </si>
  <si>
    <t>Værksteder, garager</t>
  </si>
  <si>
    <t>Pumpestationer i brønde (&lt; 6,25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</si>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</sst>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124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100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144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1" t="s">
        <v>77</v>
      </c>
      <c r="C3" s="101"/>
      <c r="D3" s="101"/>
      <c r="E3" s="101"/>
      <c r="F3" s="101"/>
      <c r="G3" s="101"/>
      <c r="H3" s="101"/>
      <c r="I3" s="2"/>
    </row>
    <row r="4" spans="1:9" ht="15" customHeight="1" x14ac:dyDescent="0.25">
      <c r="A4" s="2"/>
      <c r="B4" s="101"/>
      <c r="C4" s="101"/>
      <c r="D4" s="101"/>
      <c r="E4" s="101"/>
      <c r="F4" s="101"/>
      <c r="G4" s="101"/>
      <c r="H4" s="10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2" t="s">
        <v>195</v>
      </c>
      <c r="C8" s="103"/>
      <c r="D8" s="103"/>
      <c r="E8" s="103"/>
      <c r="F8" s="103"/>
      <c r="G8" s="103"/>
      <c r="H8" s="104"/>
      <c r="I8" s="2"/>
    </row>
    <row r="9" spans="1:9" x14ac:dyDescent="0.25">
      <c r="A9" s="2"/>
      <c r="B9" s="97" t="s">
        <v>80</v>
      </c>
      <c r="C9" s="86"/>
      <c r="D9" s="86"/>
      <c r="E9" s="86"/>
      <c r="F9" s="87"/>
      <c r="G9" s="27">
        <v>899518</v>
      </c>
      <c r="H9" s="23" t="s">
        <v>4</v>
      </c>
      <c r="I9" s="2"/>
    </row>
    <row r="10" spans="1:9" x14ac:dyDescent="0.25">
      <c r="A10" s="2"/>
      <c r="B10" s="97" t="s">
        <v>81</v>
      </c>
      <c r="C10" s="86"/>
      <c r="D10" s="86"/>
      <c r="E10" s="86"/>
      <c r="F10" s="87"/>
      <c r="G10" s="27">
        <v>993353</v>
      </c>
      <c r="H10" s="23" t="s">
        <v>4</v>
      </c>
      <c r="I10" s="2"/>
    </row>
    <row r="11" spans="1:9" x14ac:dyDescent="0.25">
      <c r="A11" s="2"/>
      <c r="B11" s="82" t="s">
        <v>196</v>
      </c>
      <c r="C11" s="83"/>
      <c r="D11" s="83"/>
      <c r="E11" s="83"/>
      <c r="F11" s="84"/>
      <c r="G11" s="21">
        <f>G9-G10</f>
        <v>-93835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2" t="s">
        <v>197</v>
      </c>
      <c r="C14" s="103"/>
      <c r="D14" s="103"/>
      <c r="E14" s="103"/>
      <c r="F14" s="103"/>
      <c r="G14" s="103"/>
      <c r="H14" s="104"/>
      <c r="I14" s="2"/>
    </row>
    <row r="15" spans="1:9" x14ac:dyDescent="0.25">
      <c r="A15" s="2"/>
      <c r="B15" s="97" t="s">
        <v>82</v>
      </c>
      <c r="C15" s="86"/>
      <c r="D15" s="86"/>
      <c r="E15" s="86"/>
      <c r="F15" s="87"/>
      <c r="G15" s="27">
        <v>5391153</v>
      </c>
      <c r="H15" s="23" t="s">
        <v>4</v>
      </c>
      <c r="I15" s="2"/>
    </row>
    <row r="16" spans="1:9" x14ac:dyDescent="0.25">
      <c r="A16" s="2"/>
      <c r="B16" s="97" t="s">
        <v>83</v>
      </c>
      <c r="C16" s="86"/>
      <c r="D16" s="86"/>
      <c r="E16" s="86"/>
      <c r="F16" s="87"/>
      <c r="G16" s="27">
        <v>7561938</v>
      </c>
      <c r="H16" s="23" t="s">
        <v>4</v>
      </c>
      <c r="I16" s="2"/>
    </row>
    <row r="17" spans="1:9" x14ac:dyDescent="0.25">
      <c r="A17" s="2"/>
      <c r="B17" s="82" t="s">
        <v>197</v>
      </c>
      <c r="C17" s="83"/>
      <c r="D17" s="83"/>
      <c r="E17" s="83"/>
      <c r="F17" s="84"/>
      <c r="G17" s="21">
        <f>G15-G16</f>
        <v>-2170785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2" t="s">
        <v>198</v>
      </c>
      <c r="C20" s="103"/>
      <c r="D20" s="103"/>
      <c r="E20" s="103"/>
      <c r="F20" s="103"/>
      <c r="G20" s="103"/>
      <c r="H20" s="104"/>
      <c r="I20" s="2"/>
    </row>
    <row r="21" spans="1:9" x14ac:dyDescent="0.25">
      <c r="A21" s="2"/>
      <c r="B21" s="97" t="s">
        <v>84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97" t="s">
        <v>85</v>
      </c>
      <c r="C22" s="86"/>
      <c r="D22" s="86"/>
      <c r="E22" s="86"/>
      <c r="F22" s="87"/>
      <c r="G22" s="27">
        <v>0</v>
      </c>
      <c r="H22" s="23" t="s">
        <v>4</v>
      </c>
      <c r="I22" s="2"/>
    </row>
    <row r="23" spans="1:9" x14ac:dyDescent="0.25">
      <c r="A23" s="2"/>
      <c r="B23" s="82" t="s">
        <v>198</v>
      </c>
      <c r="C23" s="83"/>
      <c r="D23" s="83"/>
      <c r="E23" s="83"/>
      <c r="F23" s="84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2" t="s">
        <v>199</v>
      </c>
      <c r="C26" s="103"/>
      <c r="D26" s="103"/>
      <c r="E26" s="103"/>
      <c r="F26" s="103"/>
      <c r="G26" s="103"/>
      <c r="H26" s="104"/>
      <c r="I26" s="2"/>
    </row>
    <row r="27" spans="1:9" ht="29.25" customHeight="1" x14ac:dyDescent="0.25">
      <c r="A27" s="2"/>
      <c r="B27" s="91" t="s">
        <v>86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7" t="s">
        <v>87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2" t="s">
        <v>199</v>
      </c>
      <c r="C29" s="103"/>
      <c r="D29" s="103"/>
      <c r="E29" s="103"/>
      <c r="F29" s="104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2" t="s">
        <v>88</v>
      </c>
      <c r="C32" s="103"/>
      <c r="D32" s="103"/>
      <c r="E32" s="103"/>
      <c r="F32" s="103"/>
      <c r="G32" s="103"/>
      <c r="H32" s="104"/>
      <c r="I32" s="2"/>
    </row>
    <row r="33" spans="1:9" x14ac:dyDescent="0.25">
      <c r="A33" s="2"/>
      <c r="B33" s="97" t="s">
        <v>89</v>
      </c>
      <c r="C33" s="86"/>
      <c r="D33" s="86"/>
      <c r="E33" s="86"/>
      <c r="F33" s="87"/>
      <c r="G33" s="12">
        <f>'Fane 8. Gen. inv. i 2016'!F39</f>
        <v>1690557.53</v>
      </c>
      <c r="H33" s="23" t="s">
        <v>4</v>
      </c>
      <c r="I33" s="2"/>
    </row>
    <row r="34" spans="1:9" x14ac:dyDescent="0.25">
      <c r="A34" s="2"/>
      <c r="B34" s="97" t="s">
        <v>90</v>
      </c>
      <c r="C34" s="86"/>
      <c r="D34" s="86"/>
      <c r="E34" s="86"/>
      <c r="F34" s="87"/>
      <c r="G34" s="27">
        <v>462587.0959999999</v>
      </c>
      <c r="H34" s="23" t="s">
        <v>4</v>
      </c>
      <c r="I34" s="2"/>
    </row>
    <row r="35" spans="1:9" x14ac:dyDescent="0.25">
      <c r="A35" s="2"/>
      <c r="B35" s="82" t="s">
        <v>88</v>
      </c>
      <c r="C35" s="83"/>
      <c r="D35" s="83"/>
      <c r="E35" s="83"/>
      <c r="F35" s="84"/>
      <c r="G35" s="21">
        <f>G33-G34</f>
        <v>1227970.4340000001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2" t="s">
        <v>200</v>
      </c>
      <c r="C38" s="83"/>
      <c r="D38" s="83"/>
      <c r="E38" s="83"/>
      <c r="F38" s="83"/>
      <c r="G38" s="83"/>
      <c r="H38" s="84"/>
      <c r="I38" s="2"/>
    </row>
    <row r="39" spans="1:9" x14ac:dyDescent="0.25">
      <c r="A39" s="2"/>
      <c r="B39" s="97" t="s">
        <v>146</v>
      </c>
      <c r="C39" s="86"/>
      <c r="D39" s="86"/>
      <c r="E39" s="86"/>
      <c r="F39" s="87"/>
      <c r="G39" s="27">
        <v>229660</v>
      </c>
      <c r="H39" s="23" t="s">
        <v>4</v>
      </c>
      <c r="I39" s="2"/>
    </row>
    <row r="40" spans="1:9" x14ac:dyDescent="0.25">
      <c r="A40" s="2"/>
      <c r="B40" s="97" t="s">
        <v>79</v>
      </c>
      <c r="C40" s="86"/>
      <c r="D40" s="86"/>
      <c r="E40" s="86"/>
      <c r="F40" s="87"/>
      <c r="G40" s="27">
        <v>658938.56077304622</v>
      </c>
      <c r="H40" s="23" t="s">
        <v>4</v>
      </c>
      <c r="I40" s="2"/>
    </row>
    <row r="41" spans="1:9" x14ac:dyDescent="0.25">
      <c r="A41" s="2"/>
      <c r="B41" s="82" t="s">
        <v>200</v>
      </c>
      <c r="C41" s="83"/>
      <c r="D41" s="83"/>
      <c r="E41" s="83"/>
      <c r="F41" s="84"/>
      <c r="G41" s="21">
        <f>G39-G40</f>
        <v>-429278.56077304622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1" t="s">
        <v>91</v>
      </c>
      <c r="C3" s="101"/>
      <c r="D3" s="101"/>
      <c r="E3" s="101"/>
      <c r="F3" s="101"/>
      <c r="G3" s="101"/>
      <c r="H3" s="101"/>
      <c r="I3" s="2"/>
    </row>
    <row r="4" spans="1:9" ht="15" customHeight="1" x14ac:dyDescent="0.25">
      <c r="A4" s="2"/>
      <c r="B4" s="101"/>
      <c r="C4" s="101"/>
      <c r="D4" s="101"/>
      <c r="E4" s="101"/>
      <c r="F4" s="101"/>
      <c r="G4" s="101"/>
      <c r="H4" s="10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92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8" t="s">
        <v>93</v>
      </c>
      <c r="C9" s="99"/>
      <c r="D9" s="99"/>
      <c r="E9" s="99"/>
      <c r="F9" s="100"/>
      <c r="G9" s="26">
        <v>60682099.449298903</v>
      </c>
      <c r="H9" s="38" t="s">
        <v>4</v>
      </c>
      <c r="I9" s="2"/>
    </row>
    <row r="10" spans="1:9" x14ac:dyDescent="0.25">
      <c r="A10" s="2"/>
      <c r="B10" s="82" t="s">
        <v>94</v>
      </c>
      <c r="C10" s="83"/>
      <c r="D10" s="83"/>
      <c r="E10" s="83"/>
      <c r="F10" s="83"/>
      <c r="G10" s="83"/>
      <c r="H10" s="84"/>
      <c r="I10" s="2"/>
    </row>
    <row r="11" spans="1:9" x14ac:dyDescent="0.25">
      <c r="A11" s="2"/>
      <c r="B11" s="97" t="s">
        <v>19</v>
      </c>
      <c r="C11" s="86"/>
      <c r="D11" s="87"/>
      <c r="E11" s="27">
        <v>27380285</v>
      </c>
      <c r="F11" s="23" t="s">
        <v>4</v>
      </c>
      <c r="G11" s="20"/>
      <c r="H11" s="42"/>
      <c r="I11" s="2"/>
    </row>
    <row r="12" spans="1:9" x14ac:dyDescent="0.25">
      <c r="A12" s="2"/>
      <c r="B12" s="97" t="s">
        <v>95</v>
      </c>
      <c r="C12" s="86"/>
      <c r="D12" s="87"/>
      <c r="E12" s="27">
        <v>3940810</v>
      </c>
      <c r="F12" s="23" t="s">
        <v>4</v>
      </c>
      <c r="G12" s="15"/>
      <c r="H12" s="43"/>
      <c r="I12" s="2"/>
    </row>
    <row r="13" spans="1:9" x14ac:dyDescent="0.25">
      <c r="A13" s="2"/>
      <c r="B13" s="97" t="s">
        <v>96</v>
      </c>
      <c r="C13" s="86"/>
      <c r="D13" s="87"/>
      <c r="E13" s="27">
        <v>524854</v>
      </c>
      <c r="F13" s="23" t="s">
        <v>4</v>
      </c>
      <c r="G13" s="15"/>
      <c r="H13" s="43"/>
      <c r="I13" s="2"/>
    </row>
    <row r="14" spans="1:9" x14ac:dyDescent="0.25">
      <c r="A14" s="2"/>
      <c r="B14" s="97" t="s">
        <v>97</v>
      </c>
      <c r="C14" s="86"/>
      <c r="D14" s="87"/>
      <c r="E14" s="27">
        <v>983570</v>
      </c>
      <c r="F14" s="23" t="s">
        <v>4</v>
      </c>
      <c r="G14" s="15"/>
      <c r="H14" s="43"/>
      <c r="I14" s="2"/>
    </row>
    <row r="15" spans="1:9" x14ac:dyDescent="0.25">
      <c r="A15" s="2"/>
      <c r="B15" s="98" t="s">
        <v>20</v>
      </c>
      <c r="C15" s="99"/>
      <c r="D15" s="100"/>
      <c r="E15" s="18">
        <f>SUM(E11:E14)</f>
        <v>32829519</v>
      </c>
      <c r="F15" s="38" t="s">
        <v>4</v>
      </c>
      <c r="G15" s="15"/>
      <c r="H15" s="43"/>
      <c r="I15" s="2"/>
    </row>
    <row r="16" spans="1:9" x14ac:dyDescent="0.25">
      <c r="A16" s="2"/>
      <c r="B16" s="97" t="s">
        <v>21</v>
      </c>
      <c r="C16" s="86"/>
      <c r="D16" s="87"/>
      <c r="E16" s="27">
        <v>2026349</v>
      </c>
      <c r="F16" s="23" t="s">
        <v>4</v>
      </c>
      <c r="G16" s="15"/>
      <c r="H16" s="43"/>
      <c r="I16" s="2"/>
    </row>
    <row r="17" spans="1:9" x14ac:dyDescent="0.25">
      <c r="A17" s="2"/>
      <c r="B17" s="97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7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8" t="s">
        <v>24</v>
      </c>
      <c r="C19" s="99"/>
      <c r="D19" s="100"/>
      <c r="E19" s="18">
        <f>SUM(E16:E18)</f>
        <v>2026349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-5310609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-6738378</v>
      </c>
      <c r="F21" s="23" t="s">
        <v>4</v>
      </c>
      <c r="G21" s="15"/>
      <c r="H21" s="43"/>
      <c r="I21" s="2"/>
    </row>
    <row r="22" spans="1:9" x14ac:dyDescent="0.25">
      <c r="A22" s="2"/>
      <c r="B22" s="97" t="s">
        <v>27</v>
      </c>
      <c r="C22" s="86"/>
      <c r="D22" s="87"/>
      <c r="E22" s="27">
        <v>-2908820</v>
      </c>
      <c r="F22" s="23" t="s">
        <v>4</v>
      </c>
      <c r="G22" s="15"/>
      <c r="H22" s="43"/>
      <c r="I22" s="2"/>
    </row>
    <row r="23" spans="1:9" x14ac:dyDescent="0.25">
      <c r="A23" s="2"/>
      <c r="B23" s="97" t="s">
        <v>28</v>
      </c>
      <c r="C23" s="86"/>
      <c r="D23" s="87"/>
      <c r="E23" s="27">
        <v>-2012300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8" t="s">
        <v>32</v>
      </c>
      <c r="C27" s="99"/>
      <c r="D27" s="100"/>
      <c r="E27" s="18">
        <f>SUM(E20:E26)</f>
        <v>-16970107</v>
      </c>
      <c r="F27" s="38" t="s">
        <v>4</v>
      </c>
      <c r="G27" s="16"/>
      <c r="H27" s="44"/>
      <c r="I27" s="2"/>
    </row>
    <row r="28" spans="1:9" x14ac:dyDescent="0.25">
      <c r="A28" s="2"/>
      <c r="B28" s="98" t="s">
        <v>33</v>
      </c>
      <c r="C28" s="99"/>
      <c r="D28" s="100"/>
      <c r="E28" s="18">
        <f>E15+E19+E27</f>
        <v>17885761</v>
      </c>
      <c r="F28" s="38" t="s">
        <v>4</v>
      </c>
      <c r="G28" s="1">
        <f>IF(E28&lt;0,0,-E28)</f>
        <v>-17885761</v>
      </c>
      <c r="H28" s="38" t="s">
        <v>4</v>
      </c>
      <c r="I28" s="2"/>
    </row>
    <row r="29" spans="1:9" x14ac:dyDescent="0.25">
      <c r="A29" s="2"/>
      <c r="B29" s="82" t="s">
        <v>98</v>
      </c>
      <c r="C29" s="83"/>
      <c r="D29" s="83"/>
      <c r="E29" s="83"/>
      <c r="F29" s="83"/>
      <c r="G29" s="83"/>
      <c r="H29" s="84"/>
      <c r="I29" s="2"/>
    </row>
    <row r="30" spans="1:9" x14ac:dyDescent="0.25">
      <c r="A30" s="2"/>
      <c r="B30" s="98" t="s">
        <v>98</v>
      </c>
      <c r="C30" s="99"/>
      <c r="D30" s="100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83"/>
      <c r="D31" s="83"/>
      <c r="E31" s="83"/>
      <c r="F31" s="83"/>
      <c r="G31" s="83"/>
      <c r="H31" s="84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35370622</v>
      </c>
      <c r="F32" s="23" t="s">
        <v>4</v>
      </c>
      <c r="G32" s="20"/>
      <c r="H32" s="42"/>
      <c r="I32" s="2"/>
    </row>
    <row r="33" spans="1:9" x14ac:dyDescent="0.25">
      <c r="A33" s="2"/>
      <c r="B33" s="97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983266</v>
      </c>
      <c r="F34" s="23" t="s">
        <v>4</v>
      </c>
      <c r="G34" s="16"/>
      <c r="H34" s="44"/>
      <c r="I34" s="2"/>
    </row>
    <row r="35" spans="1:9" x14ac:dyDescent="0.25">
      <c r="A35" s="2"/>
      <c r="B35" s="98" t="s">
        <v>36</v>
      </c>
      <c r="C35" s="99"/>
      <c r="D35" s="100"/>
      <c r="E35" s="18">
        <f>SUM(E32:E34)</f>
        <v>36353888</v>
      </c>
      <c r="F35" s="38" t="s">
        <v>4</v>
      </c>
      <c r="G35" s="18">
        <f>-E35</f>
        <v>-36353888</v>
      </c>
      <c r="H35" s="38" t="s">
        <v>4</v>
      </c>
      <c r="I35" s="2"/>
    </row>
    <row r="36" spans="1:9" x14ac:dyDescent="0.25">
      <c r="A36" s="2"/>
      <c r="B36" s="82" t="s">
        <v>99</v>
      </c>
      <c r="C36" s="83"/>
      <c r="D36" s="83"/>
      <c r="E36" s="83"/>
      <c r="F36" s="84"/>
      <c r="G36" s="21">
        <f>$G$9+$G$28+$G$30+$G$35</f>
        <v>6442450.4492989033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6" t="s">
        <v>128</v>
      </c>
      <c r="C3" s="96"/>
      <c r="D3" s="96"/>
      <c r="E3" s="96"/>
      <c r="F3" s="96"/>
      <c r="G3" s="96"/>
      <c r="H3" s="2"/>
    </row>
    <row r="4" spans="1:8" ht="15" customHeight="1" x14ac:dyDescent="0.25">
      <c r="A4" s="2"/>
      <c r="B4" s="96"/>
      <c r="C4" s="96"/>
      <c r="D4" s="96"/>
      <c r="E4" s="96"/>
      <c r="F4" s="96"/>
      <c r="G4" s="9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192</v>
      </c>
      <c r="C8" s="83"/>
      <c r="D8" s="83"/>
      <c r="E8" s="83"/>
      <c r="F8" s="83"/>
      <c r="G8" s="84"/>
      <c r="H8" s="2"/>
    </row>
    <row r="9" spans="1:8" ht="29.25" customHeight="1" x14ac:dyDescent="0.25">
      <c r="A9" s="2"/>
      <c r="B9" s="88" t="s">
        <v>118</v>
      </c>
      <c r="C9" s="90"/>
      <c r="D9" s="113" t="s">
        <v>47</v>
      </c>
      <c r="E9" s="113"/>
      <c r="F9" s="113" t="s">
        <v>129</v>
      </c>
      <c r="G9" s="113"/>
      <c r="H9" s="2"/>
    </row>
    <row r="10" spans="1:8" x14ac:dyDescent="0.25">
      <c r="A10" s="2"/>
      <c r="B10" s="115" t="s">
        <v>193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2" t="s">
        <v>135</v>
      </c>
      <c r="C11" s="83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2" t="s">
        <v>148</v>
      </c>
      <c r="C12" s="84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2" t="s">
        <v>188</v>
      </c>
      <c r="C15" s="83"/>
      <c r="D15" s="83"/>
      <c r="E15" s="83"/>
      <c r="F15" s="83"/>
      <c r="G15" s="84"/>
      <c r="H15" s="2"/>
    </row>
    <row r="16" spans="1:8" ht="15" customHeight="1" x14ac:dyDescent="0.25">
      <c r="A16" s="2"/>
      <c r="B16" s="88" t="s">
        <v>206</v>
      </c>
      <c r="C16" s="89"/>
      <c r="D16" s="89"/>
      <c r="E16" s="90"/>
      <c r="F16" s="113" t="s">
        <v>189</v>
      </c>
      <c r="G16" s="113"/>
      <c r="H16" s="2"/>
    </row>
    <row r="17" spans="1:8" x14ac:dyDescent="0.25">
      <c r="A17" s="2"/>
      <c r="B17" s="97" t="s">
        <v>202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82" t="s">
        <v>190</v>
      </c>
      <c r="C18" s="83"/>
      <c r="D18" s="83"/>
      <c r="E18" s="84"/>
      <c r="F18" s="21">
        <f>SUM(F17:F17)</f>
        <v>0</v>
      </c>
      <c r="G18" s="22" t="s">
        <v>4</v>
      </c>
      <c r="H18" s="2"/>
    </row>
    <row r="19" spans="1:8" x14ac:dyDescent="0.25">
      <c r="A19" s="2"/>
      <c r="B19" s="82" t="s">
        <v>191</v>
      </c>
      <c r="C19" s="83"/>
      <c r="D19" s="83"/>
      <c r="E19" s="84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1" t="s">
        <v>120</v>
      </c>
      <c r="C3" s="101"/>
      <c r="D3" s="101"/>
      <c r="E3" s="101"/>
      <c r="F3" s="101"/>
      <c r="G3" s="101"/>
      <c r="H3" s="2"/>
    </row>
    <row r="4" spans="1:8" ht="25.5" customHeight="1" x14ac:dyDescent="0.25">
      <c r="A4" s="2"/>
      <c r="B4" s="101"/>
      <c r="C4" s="101"/>
      <c r="D4" s="101"/>
      <c r="E4" s="101"/>
      <c r="F4" s="101"/>
      <c r="G4" s="10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119</v>
      </c>
      <c r="C8" s="83"/>
      <c r="D8" s="83"/>
      <c r="E8" s="83"/>
      <c r="F8" s="83"/>
      <c r="G8" s="84"/>
      <c r="H8" s="2"/>
    </row>
    <row r="9" spans="1:8" ht="29.25" customHeight="1" x14ac:dyDescent="0.25">
      <c r="A9" s="2"/>
      <c r="B9" s="45" t="s">
        <v>121</v>
      </c>
      <c r="C9" s="46"/>
      <c r="D9" s="113" t="s">
        <v>47</v>
      </c>
      <c r="E9" s="113"/>
      <c r="F9" s="113" t="s">
        <v>129</v>
      </c>
      <c r="G9" s="113"/>
      <c r="H9" s="2"/>
    </row>
    <row r="10" spans="1:8" x14ac:dyDescent="0.25">
      <c r="A10" s="2"/>
      <c r="B10" s="35" t="s">
        <v>201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2" t="s">
        <v>130</v>
      </c>
      <c r="C11" s="84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2" t="s">
        <v>147</v>
      </c>
      <c r="C12" s="84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111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56</v>
      </c>
      <c r="C8" s="83"/>
      <c r="D8" s="83"/>
      <c r="E8" s="83"/>
      <c r="F8" s="83"/>
      <c r="G8" s="83"/>
      <c r="H8" s="84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62755319.353711307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1330978.1005819999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123</v>
      </c>
      <c r="C11" s="86"/>
      <c r="D11" s="87"/>
      <c r="E11" s="12">
        <f>'Fane 4. Ikke-påvirkelige omk.'!G19</f>
        <v>-450678.89404999994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204</v>
      </c>
      <c r="C12" s="49"/>
      <c r="D12" s="50"/>
      <c r="E12" s="12">
        <f>'Fane 5. Individuelt eff.krav'!G10</f>
        <v>-1853695.7281698014</v>
      </c>
      <c r="F12" s="9" t="s">
        <v>4</v>
      </c>
      <c r="G12" s="13"/>
      <c r="H12" s="14"/>
      <c r="I12" s="2"/>
    </row>
    <row r="13" spans="1:9" x14ac:dyDescent="0.25">
      <c r="A13" s="2"/>
      <c r="B13" s="85" t="s">
        <v>184</v>
      </c>
      <c r="C13" s="94"/>
      <c r="D13" s="95"/>
      <c r="E13" s="12">
        <f>'Fane 3. Korrigeret grundlag'!G22</f>
        <v>456048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131</v>
      </c>
      <c r="C14" s="92"/>
      <c r="D14" s="93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132</v>
      </c>
      <c r="C15" s="92"/>
      <c r="D15" s="93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188</v>
      </c>
      <c r="C16" s="92"/>
      <c r="D16" s="93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133</v>
      </c>
      <c r="C17" s="92"/>
      <c r="D17" s="93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1" t="s">
        <v>134</v>
      </c>
      <c r="C18" s="92"/>
      <c r="D18" s="93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5" t="s">
        <v>125</v>
      </c>
      <c r="C20" s="86"/>
      <c r="D20" s="87"/>
      <c r="E20" s="12">
        <f>SUM(E9,E11:E18)*(E19/100)</f>
        <v>1065872.3728011015</v>
      </c>
      <c r="F20" s="9" t="s">
        <v>4</v>
      </c>
      <c r="G20" s="13"/>
      <c r="H20" s="14"/>
      <c r="I20" s="2"/>
    </row>
    <row r="21" spans="1:9" x14ac:dyDescent="0.25">
      <c r="A21" s="2"/>
      <c r="B21" s="97" t="s">
        <v>15</v>
      </c>
      <c r="C21" s="86"/>
      <c r="D21" s="87"/>
      <c r="E21" s="12">
        <f>'Fane 5. Individuelt eff.krav'!G12</f>
        <v>1221543.2132329261</v>
      </c>
      <c r="F21" s="9" t="s">
        <v>4</v>
      </c>
      <c r="G21" s="15"/>
      <c r="H21" s="14"/>
      <c r="I21" s="2"/>
    </row>
    <row r="22" spans="1:9" x14ac:dyDescent="0.25">
      <c r="A22" s="2"/>
      <c r="B22" s="97" t="s">
        <v>16</v>
      </c>
      <c r="C22" s="86"/>
      <c r="D22" s="87"/>
      <c r="E22" s="12">
        <f>'Fane 6. Generelt eff.krav'!G17</f>
        <v>1144024.2556004736</v>
      </c>
      <c r="F22" s="9" t="s">
        <v>4</v>
      </c>
      <c r="G22" s="16"/>
      <c r="H22" s="17"/>
      <c r="I22" s="2"/>
    </row>
    <row r="23" spans="1:9" x14ac:dyDescent="0.25">
      <c r="A23" s="2"/>
      <c r="B23" s="98" t="s">
        <v>194</v>
      </c>
      <c r="C23" s="99"/>
      <c r="D23" s="100"/>
      <c r="E23" s="18">
        <f>SUM(E9,E11:E18,E20)-SUM(E21:E22)</f>
        <v>59607297.635459207</v>
      </c>
      <c r="F23" s="19" t="s">
        <v>4</v>
      </c>
      <c r="G23" s="18">
        <f>E23</f>
        <v>59607297.635459207</v>
      </c>
      <c r="H23" s="19" t="s">
        <v>4</v>
      </c>
      <c r="I23" s="2"/>
    </row>
    <row r="24" spans="1:9" x14ac:dyDescent="0.25">
      <c r="A24" s="2"/>
      <c r="B24" s="82" t="s">
        <v>17</v>
      </c>
      <c r="C24" s="83"/>
      <c r="D24" s="83"/>
      <c r="E24" s="83"/>
      <c r="F24" s="83"/>
      <c r="G24" s="83"/>
      <c r="H24" s="84"/>
      <c r="I24" s="2"/>
    </row>
    <row r="25" spans="1:9" x14ac:dyDescent="0.25">
      <c r="A25" s="2"/>
      <c r="B25" s="88" t="s">
        <v>55</v>
      </c>
      <c r="C25" s="89"/>
      <c r="D25" s="9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2" t="s">
        <v>100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91" t="s">
        <v>107</v>
      </c>
      <c r="C27" s="92"/>
      <c r="D27" s="93"/>
      <c r="E27" s="12">
        <f>'Fane 9. Korrektion af PL2016'!G11</f>
        <v>-93835</v>
      </c>
      <c r="F27" s="9" t="s">
        <v>4</v>
      </c>
      <c r="G27" s="20"/>
      <c r="H27" s="11"/>
      <c r="I27" s="2"/>
    </row>
    <row r="28" spans="1:9" x14ac:dyDescent="0.25">
      <c r="A28" s="2"/>
      <c r="B28" s="91" t="s">
        <v>101</v>
      </c>
      <c r="C28" s="92"/>
      <c r="D28" s="93"/>
      <c r="E28" s="12">
        <f>'Fane 9. Korrektion af PL2016'!G17</f>
        <v>-2170785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1" t="s">
        <v>102</v>
      </c>
      <c r="C29" s="92"/>
      <c r="D29" s="93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1" t="s">
        <v>103</v>
      </c>
      <c r="C30" s="92"/>
      <c r="D30" s="93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1" t="s">
        <v>104</v>
      </c>
      <c r="C31" s="92"/>
      <c r="D31" s="93"/>
      <c r="E31" s="12">
        <f>'Fane 9. Korrektion af PL2016'!G35</f>
        <v>1227970.4340000001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1" t="s">
        <v>78</v>
      </c>
      <c r="C32" s="92"/>
      <c r="D32" s="93"/>
      <c r="E32" s="12">
        <f>'Fane 9. Korrektion af PL2016'!G41</f>
        <v>-429278.56077304622</v>
      </c>
      <c r="F32" s="9" t="s">
        <v>4</v>
      </c>
      <c r="G32" s="16"/>
      <c r="H32" s="17"/>
      <c r="I32" s="2"/>
    </row>
    <row r="33" spans="1:9" x14ac:dyDescent="0.25">
      <c r="A33" s="2"/>
      <c r="B33" s="88" t="s">
        <v>105</v>
      </c>
      <c r="C33" s="89"/>
      <c r="D33" s="90"/>
      <c r="E33" s="18">
        <f>SUM(E27:E32)</f>
        <v>-1465928.1267730461</v>
      </c>
      <c r="F33" s="19" t="s">
        <v>4</v>
      </c>
      <c r="G33" s="18">
        <f>E33</f>
        <v>-1465928.1267730461</v>
      </c>
      <c r="H33" s="19" t="s">
        <v>4</v>
      </c>
      <c r="I33" s="2"/>
    </row>
    <row r="34" spans="1:9" x14ac:dyDescent="0.25">
      <c r="A34" s="2"/>
      <c r="B34" s="82" t="s">
        <v>18</v>
      </c>
      <c r="C34" s="83"/>
      <c r="D34" s="83"/>
      <c r="E34" s="83"/>
      <c r="F34" s="83"/>
      <c r="G34" s="83"/>
      <c r="H34" s="84"/>
      <c r="I34" s="2"/>
    </row>
    <row r="35" spans="1:9" x14ac:dyDescent="0.25">
      <c r="A35" s="2"/>
      <c r="B35" s="88" t="s">
        <v>106</v>
      </c>
      <c r="C35" s="89"/>
      <c r="D35" s="90"/>
      <c r="E35" s="18">
        <f>'Fane 10. Kontrol af PL2016'!G36</f>
        <v>6442450.4492989033</v>
      </c>
      <c r="F35" s="19" t="s">
        <v>4</v>
      </c>
      <c r="G35" s="18">
        <f>E35</f>
        <v>6442450.4492989033</v>
      </c>
      <c r="H35" s="19" t="s">
        <v>4</v>
      </c>
      <c r="I35" s="2"/>
    </row>
    <row r="36" spans="1:9" x14ac:dyDescent="0.25">
      <c r="A36" s="2"/>
      <c r="B36" s="82" t="s">
        <v>62</v>
      </c>
      <c r="C36" s="83"/>
      <c r="D36" s="83"/>
      <c r="E36" s="83"/>
      <c r="F36" s="84"/>
      <c r="G36" s="21">
        <f>G23+G25+G33+G35</f>
        <v>64583819.957985066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110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1" t="s">
        <v>108</v>
      </c>
      <c r="C9" s="92"/>
      <c r="D9" s="93"/>
      <c r="E9" s="8">
        <f>'Fane 2.1. Økonomisk ramme 2018'!G23-'Fane 2.1. Økonomisk ramme 2018'!E13*(1+0.0175)*(1-0.02-'Fane 5. Individuelt eff.krav'!G11/100)</f>
        <v>59161829.949059203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94"/>
      <c r="D10" s="95"/>
      <c r="E10" s="12">
        <f>(SUM('Fane 2.1. Økonomisk ramme 2018'!E10:E11,'Fane 2.1. Økonomisk ramme 2018'!E16))*(1+'Fane 2.1. Økonomisk ramme 2018'!E19/100)</f>
        <v>895704.44264630997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184</v>
      </c>
      <c r="C11" s="94"/>
      <c r="D11" s="95"/>
      <c r="E11" s="12">
        <v>464029</v>
      </c>
      <c r="F11" s="9" t="s">
        <v>4</v>
      </c>
      <c r="G11" s="13"/>
      <c r="H11" s="14"/>
      <c r="I11" s="2"/>
    </row>
    <row r="12" spans="1:9" x14ac:dyDescent="0.25">
      <c r="A12" s="2"/>
      <c r="B12" s="97" t="s">
        <v>61</v>
      </c>
      <c r="C12" s="86"/>
      <c r="D12" s="87"/>
      <c r="E12" s="12">
        <f>($E$9+E11)*'Fane 2.1. Økonomisk ramme 2018'!E19/100</f>
        <v>1043452.5316085361</v>
      </c>
      <c r="F12" s="9" t="s">
        <v>4</v>
      </c>
      <c r="G12" s="15"/>
      <c r="H12" s="14"/>
      <c r="I12" s="2"/>
    </row>
    <row r="13" spans="1:9" x14ac:dyDescent="0.25">
      <c r="A13" s="2"/>
      <c r="B13" s="97" t="s">
        <v>15</v>
      </c>
      <c r="C13" s="86"/>
      <c r="D13" s="87"/>
      <c r="E13" s="12">
        <f>($E$9+E11-$E$10)*(1+'Fane 2.1. Økonomisk ramme 2018'!E19/100)*'Fane 5. Individuelt eff.krav'!$G$11/100</f>
        <v>1195158.6442055025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1152004.6904706359</v>
      </c>
      <c r="F14" s="9" t="s">
        <v>4</v>
      </c>
      <c r="G14" s="16"/>
      <c r="H14" s="17"/>
      <c r="I14" s="2"/>
    </row>
    <row r="15" spans="1:9" x14ac:dyDescent="0.25">
      <c r="A15" s="2"/>
      <c r="B15" s="98" t="s">
        <v>194</v>
      </c>
      <c r="C15" s="99"/>
      <c r="D15" s="100"/>
      <c r="E15" s="18">
        <f>E9+E12-E13-E14+E11</f>
        <v>58322148.145991601</v>
      </c>
      <c r="F15" s="19" t="s">
        <v>4</v>
      </c>
      <c r="G15" s="18">
        <f>E15</f>
        <v>58322148.145991601</v>
      </c>
      <c r="H15" s="19" t="s">
        <v>4</v>
      </c>
      <c r="I15" s="2"/>
    </row>
    <row r="16" spans="1:9" x14ac:dyDescent="0.25">
      <c r="A16" s="2"/>
      <c r="B16" s="82" t="s">
        <v>17</v>
      </c>
      <c r="C16" s="83"/>
      <c r="D16" s="83"/>
      <c r="E16" s="83"/>
      <c r="F16" s="83"/>
      <c r="G16" s="83"/>
      <c r="H16" s="84"/>
      <c r="I16" s="2"/>
    </row>
    <row r="17" spans="1:9" ht="15" customHeight="1" x14ac:dyDescent="0.25">
      <c r="A17" s="2"/>
      <c r="B17" s="88" t="s">
        <v>55</v>
      </c>
      <c r="C17" s="89"/>
      <c r="D17" s="9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2" t="s">
        <v>109</v>
      </c>
      <c r="C18" s="83"/>
      <c r="D18" s="83"/>
      <c r="E18" s="83"/>
      <c r="F18" s="84"/>
      <c r="G18" s="21">
        <f>G15+G17</f>
        <v>58322148.145991601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1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1" t="s">
        <v>141</v>
      </c>
      <c r="C3" s="101"/>
      <c r="D3" s="101"/>
      <c r="E3" s="101"/>
      <c r="F3" s="101"/>
      <c r="G3" s="101"/>
      <c r="H3" s="101"/>
      <c r="I3" s="2"/>
    </row>
    <row r="4" spans="1:9" ht="29.25" customHeight="1" x14ac:dyDescent="0.25">
      <c r="A4" s="2"/>
      <c r="B4" s="101"/>
      <c r="C4" s="101"/>
      <c r="D4" s="101"/>
      <c r="E4" s="101"/>
      <c r="F4" s="101"/>
      <c r="G4" s="101"/>
      <c r="H4" s="10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143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7" t="s">
        <v>112</v>
      </c>
      <c r="C9" s="86"/>
      <c r="D9" s="86"/>
      <c r="E9" s="86"/>
      <c r="F9" s="87"/>
      <c r="G9" s="27">
        <v>18386178.912990358</v>
      </c>
      <c r="H9" s="23" t="s">
        <v>4</v>
      </c>
      <c r="I9" s="2"/>
    </row>
    <row r="10" spans="1:9" x14ac:dyDescent="0.25">
      <c r="A10" s="2"/>
      <c r="B10" s="97" t="s">
        <v>113</v>
      </c>
      <c r="C10" s="86"/>
      <c r="D10" s="86"/>
      <c r="E10" s="86"/>
      <c r="F10" s="87"/>
      <c r="G10" s="27">
        <v>43038162.340138949</v>
      </c>
      <c r="H10" s="23" t="s">
        <v>4</v>
      </c>
      <c r="I10" s="2"/>
    </row>
    <row r="11" spans="1:9" x14ac:dyDescent="0.25">
      <c r="A11" s="2"/>
      <c r="B11" s="97" t="s">
        <v>140</v>
      </c>
      <c r="C11" s="86"/>
      <c r="D11" s="86"/>
      <c r="E11" s="86"/>
      <c r="F11" s="87"/>
      <c r="G11" s="27">
        <v>1330978.1005819999</v>
      </c>
      <c r="H11" s="23" t="s">
        <v>4</v>
      </c>
      <c r="I11" s="2"/>
    </row>
    <row r="12" spans="1:9" ht="17.25" customHeight="1" x14ac:dyDescent="0.25">
      <c r="A12" s="2"/>
      <c r="B12" s="102" t="s">
        <v>145</v>
      </c>
      <c r="C12" s="103"/>
      <c r="D12" s="103"/>
      <c r="E12" s="103"/>
      <c r="F12" s="104"/>
      <c r="G12" s="21">
        <f>SUM(G9:G11)</f>
        <v>62755319.353711307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2" t="s">
        <v>184</v>
      </c>
      <c r="C19" s="83"/>
      <c r="D19" s="83"/>
      <c r="E19" s="83"/>
      <c r="F19" s="83"/>
      <c r="G19" s="83"/>
      <c r="H19" s="84"/>
      <c r="I19" s="2"/>
    </row>
    <row r="20" spans="1:9" x14ac:dyDescent="0.25">
      <c r="A20" s="2"/>
      <c r="B20" s="97" t="s">
        <v>185</v>
      </c>
      <c r="C20" s="86"/>
      <c r="D20" s="86"/>
      <c r="E20" s="86"/>
      <c r="F20" s="87"/>
      <c r="G20" s="27">
        <v>456048</v>
      </c>
      <c r="H20" s="23" t="s">
        <v>4</v>
      </c>
      <c r="I20" s="2"/>
    </row>
    <row r="21" spans="1:9" x14ac:dyDescent="0.25">
      <c r="A21" s="2"/>
      <c r="B21" s="97" t="s">
        <v>186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102" t="s">
        <v>187</v>
      </c>
      <c r="C22" s="103"/>
      <c r="D22" s="103"/>
      <c r="E22" s="103"/>
      <c r="F22" s="104"/>
      <c r="G22" s="21">
        <f>SUM(G20:G21)</f>
        <v>456048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114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115</v>
      </c>
      <c r="C8" s="83"/>
      <c r="D8" s="83"/>
      <c r="E8" s="83"/>
      <c r="F8" s="83"/>
      <c r="G8" s="83"/>
      <c r="H8" s="84"/>
      <c r="I8" s="2"/>
    </row>
    <row r="9" spans="1:9" ht="51.75" customHeight="1" x14ac:dyDescent="0.25">
      <c r="A9" s="2"/>
      <c r="B9" s="88" t="s">
        <v>117</v>
      </c>
      <c r="C9" s="89"/>
      <c r="D9" s="9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5" t="s">
        <v>176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177</v>
      </c>
      <c r="C11" s="106"/>
      <c r="D11" s="106"/>
      <c r="E11" s="56">
        <v>0</v>
      </c>
      <c r="F11" s="23" t="s">
        <v>4</v>
      </c>
      <c r="G11" s="27">
        <v>30341</v>
      </c>
      <c r="H11" s="23" t="s">
        <v>4</v>
      </c>
      <c r="I11" s="2"/>
    </row>
    <row r="12" spans="1:9" x14ac:dyDescent="0.25">
      <c r="A12" s="2"/>
      <c r="B12" s="105" t="s">
        <v>178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179</v>
      </c>
      <c r="C13" s="106"/>
      <c r="D13" s="106"/>
      <c r="E13" s="56">
        <v>32398.416399999998</v>
      </c>
      <c r="F13" s="23" t="s">
        <v>4</v>
      </c>
      <c r="G13" s="27">
        <v>32585</v>
      </c>
      <c r="H13" s="23" t="s">
        <v>4</v>
      </c>
      <c r="I13" s="2"/>
    </row>
    <row r="14" spans="1:9" x14ac:dyDescent="0.25">
      <c r="A14" s="2"/>
      <c r="B14" s="105" t="s">
        <v>180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181</v>
      </c>
      <c r="C15" s="106"/>
      <c r="D15" s="106"/>
      <c r="E15" s="56">
        <v>1281888.2435999999</v>
      </c>
      <c r="F15" s="23" t="s">
        <v>4</v>
      </c>
      <c r="G15" s="27">
        <v>808433</v>
      </c>
      <c r="H15" s="23" t="s">
        <v>4</v>
      </c>
      <c r="I15" s="2"/>
    </row>
    <row r="16" spans="1:9" x14ac:dyDescent="0.25">
      <c r="A16" s="2"/>
      <c r="B16" s="105" t="s">
        <v>182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183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2" t="s">
        <v>136</v>
      </c>
      <c r="C18" s="83"/>
      <c r="D18" s="83"/>
      <c r="E18" s="83"/>
      <c r="F18" s="84"/>
      <c r="G18" s="21">
        <f>SUM(G10:G17)-SUM(E10:E17)</f>
        <v>-442927.65999999992</v>
      </c>
      <c r="H18" s="22" t="s">
        <v>4</v>
      </c>
      <c r="I18" s="2"/>
    </row>
    <row r="19" spans="1:9" x14ac:dyDescent="0.25">
      <c r="A19" s="2"/>
      <c r="B19" s="82" t="s">
        <v>137</v>
      </c>
      <c r="C19" s="83"/>
      <c r="D19" s="83"/>
      <c r="E19" s="83"/>
      <c r="F19" s="84"/>
      <c r="G19" s="21">
        <f>G18*(1+'Fane 2.1. Økonomisk ramme 2018'!E19/100)</f>
        <v>-450678.89404999994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71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15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7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2018'!E13:E15,'Fane 2.1. Økonomisk ramme 2018'!E17:E18)</f>
        <v>61880389.253129303</v>
      </c>
      <c r="H9" s="23" t="s">
        <v>4</v>
      </c>
      <c r="I9" s="2"/>
    </row>
    <row r="10" spans="1:9" x14ac:dyDescent="0.25">
      <c r="A10" s="2"/>
      <c r="B10" s="51" t="s">
        <v>204</v>
      </c>
      <c r="C10" s="49"/>
      <c r="D10" s="49"/>
      <c r="E10" s="49"/>
      <c r="F10" s="50"/>
      <c r="G10" s="12">
        <v>-1853695.7281698014</v>
      </c>
      <c r="H10" s="23" t="s">
        <v>4</v>
      </c>
      <c r="I10" s="2"/>
    </row>
    <row r="11" spans="1:9" x14ac:dyDescent="0.25">
      <c r="A11" s="2"/>
      <c r="B11" s="97" t="s">
        <v>37</v>
      </c>
      <c r="C11" s="86"/>
      <c r="D11" s="86"/>
      <c r="E11" s="86"/>
      <c r="F11" s="87"/>
      <c r="G11" s="29">
        <v>2</v>
      </c>
      <c r="H11" s="23" t="s">
        <v>38</v>
      </c>
      <c r="I11" s="2"/>
    </row>
    <row r="12" spans="1:9" x14ac:dyDescent="0.25">
      <c r="A12" s="2"/>
      <c r="B12" s="82" t="s">
        <v>15</v>
      </c>
      <c r="C12" s="83"/>
      <c r="D12" s="83"/>
      <c r="E12" s="83"/>
      <c r="F12" s="84"/>
      <c r="G12" s="21">
        <f>($G$9+G10)*(1+'Fane 2.1. Økonomisk ramme 2018'!E19/100)*($G$11/100)</f>
        <v>1221543.2132329261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72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53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2018'!E14,'Fane 2.1. Økonomisk ramme 2018'!E17))</f>
        <v>18842226.912990358</v>
      </c>
      <c r="H9" s="23" t="s">
        <v>4</v>
      </c>
      <c r="I9" s="2"/>
    </row>
    <row r="10" spans="1:9" x14ac:dyDescent="0.25">
      <c r="A10" s="2"/>
      <c r="B10" s="52" t="s">
        <v>203</v>
      </c>
      <c r="C10" s="53"/>
      <c r="D10" s="53"/>
      <c r="E10" s="53"/>
      <c r="F10" s="54"/>
      <c r="G10" s="12">
        <v>-377013.99850409554</v>
      </c>
      <c r="H10" s="23" t="s">
        <v>4</v>
      </c>
      <c r="I10" s="2"/>
    </row>
    <row r="11" spans="1:9" x14ac:dyDescent="0.25">
      <c r="A11" s="2"/>
      <c r="B11" s="97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8" t="s">
        <v>39</v>
      </c>
      <c r="C12" s="99"/>
      <c r="D12" s="99"/>
      <c r="E12" s="99"/>
      <c r="F12" s="100"/>
      <c r="G12" s="18">
        <f>($G$9+$G$10)*(1+'Fane 2.1. Økonomisk ramme 2018'!E19/100)*$G$11/100</f>
        <v>375767.08280979551</v>
      </c>
      <c r="H12" s="38" t="s">
        <v>4</v>
      </c>
      <c r="I12" s="2"/>
    </row>
    <row r="13" spans="1:9" x14ac:dyDescent="0.25">
      <c r="A13" s="2"/>
      <c r="B13" s="97" t="s">
        <v>48</v>
      </c>
      <c r="C13" s="86"/>
      <c r="D13" s="86"/>
      <c r="E13" s="86"/>
      <c r="F13" s="87"/>
      <c r="G13" s="12">
        <f>'Fane 3. Korrigeret grundlag'!G10+SUM('Fane 2.1. Økonomisk ramme 2018'!E15,'Fane 2.1. Økonomisk ramme 2018'!E18)</f>
        <v>43038162.340138949</v>
      </c>
      <c r="H13" s="23" t="s">
        <v>4</v>
      </c>
      <c r="I13" s="2"/>
    </row>
    <row r="14" spans="1:9" x14ac:dyDescent="0.25">
      <c r="A14" s="2"/>
      <c r="B14" s="51" t="s">
        <v>205</v>
      </c>
      <c r="C14" s="49"/>
      <c r="D14" s="49"/>
      <c r="E14" s="49"/>
      <c r="F14" s="50"/>
      <c r="G14" s="12">
        <v>-380314.63038850285</v>
      </c>
      <c r="H14" s="23" t="s">
        <v>4</v>
      </c>
      <c r="I14" s="2"/>
    </row>
    <row r="15" spans="1:9" x14ac:dyDescent="0.25">
      <c r="A15" s="2"/>
      <c r="B15" s="97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8" t="s">
        <v>40</v>
      </c>
      <c r="C16" s="99"/>
      <c r="D16" s="99"/>
      <c r="E16" s="99"/>
      <c r="F16" s="100"/>
      <c r="G16" s="18">
        <f>($G$13+$G$14)*(1+'Fane 2.1. Økonomisk ramme 2018'!E19/100)*$G$15/100</f>
        <v>768257.1727906781</v>
      </c>
      <c r="H16" s="38" t="s">
        <v>4</v>
      </c>
      <c r="I16" s="2"/>
    </row>
    <row r="17" spans="1:9" x14ac:dyDescent="0.25">
      <c r="A17" s="2"/>
      <c r="B17" s="82" t="s">
        <v>52</v>
      </c>
      <c r="C17" s="83"/>
      <c r="D17" s="83"/>
      <c r="E17" s="83"/>
      <c r="F17" s="84"/>
      <c r="G17" s="21">
        <f>G12+G16</f>
        <v>1144024.2556004736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6" t="s">
        <v>73</v>
      </c>
      <c r="C3" s="96"/>
      <c r="D3" s="96"/>
      <c r="E3" s="96"/>
      <c r="F3" s="96"/>
      <c r="G3" s="96"/>
      <c r="H3" s="96"/>
      <c r="I3" s="2"/>
    </row>
    <row r="4" spans="1:9" ht="15" customHeight="1" x14ac:dyDescent="0.25">
      <c r="A4" s="2"/>
      <c r="B4" s="96"/>
      <c r="C4" s="96"/>
      <c r="D4" s="96"/>
      <c r="E4" s="96"/>
      <c r="F4" s="96"/>
      <c r="G4" s="96"/>
      <c r="H4" s="9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54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7" t="s">
        <v>42</v>
      </c>
      <c r="C9" s="86"/>
      <c r="D9" s="86"/>
      <c r="E9" s="86"/>
      <c r="F9" s="87"/>
      <c r="G9" s="27">
        <v>-591854</v>
      </c>
      <c r="H9" s="23" t="s">
        <v>4</v>
      </c>
      <c r="I9" s="2"/>
    </row>
    <row r="10" spans="1:9" x14ac:dyDescent="0.25">
      <c r="A10" s="2"/>
      <c r="B10" s="97" t="s">
        <v>122</v>
      </c>
      <c r="C10" s="86"/>
      <c r="D10" s="86"/>
      <c r="E10" s="86"/>
      <c r="F10" s="87"/>
      <c r="G10" s="27">
        <v>-591854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7" t="s">
        <v>43</v>
      </c>
      <c r="C12" s="86"/>
      <c r="D12" s="86"/>
      <c r="E12" s="86"/>
      <c r="F12" s="87"/>
      <c r="G12" s="27">
        <v>0</v>
      </c>
      <c r="H12" s="23" t="s">
        <v>127</v>
      </c>
      <c r="I12" s="2"/>
    </row>
    <row r="13" spans="1:9" x14ac:dyDescent="0.25">
      <c r="A13" s="2"/>
      <c r="B13" s="82" t="s">
        <v>41</v>
      </c>
      <c r="C13" s="83"/>
      <c r="D13" s="83"/>
      <c r="E13" s="83"/>
      <c r="F13" s="84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6" t="s">
        <v>74</v>
      </c>
      <c r="C3" s="96"/>
      <c r="D3" s="96"/>
      <c r="E3" s="96"/>
      <c r="F3" s="96"/>
      <c r="G3" s="96"/>
      <c r="H3" s="2"/>
    </row>
    <row r="4" spans="1:8" ht="15" customHeight="1" x14ac:dyDescent="0.25">
      <c r="A4" s="2"/>
      <c r="B4" s="96"/>
      <c r="C4" s="96"/>
      <c r="D4" s="96"/>
      <c r="E4" s="96"/>
      <c r="F4" s="96"/>
      <c r="G4" s="9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75</v>
      </c>
      <c r="C8" s="83"/>
      <c r="D8" s="83"/>
      <c r="E8" s="83"/>
      <c r="F8" s="83"/>
      <c r="G8" s="84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4696351</v>
      </c>
      <c r="F10" s="12">
        <f>E10/D10</f>
        <v>62618.013333333336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5716833</v>
      </c>
      <c r="F11" s="12">
        <f t="shared" ref="F11:F38" si="0">E11/D11</f>
        <v>76224.44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3107735</v>
      </c>
      <c r="F12" s="12">
        <f t="shared" si="0"/>
        <v>41436.466666666667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75</v>
      </c>
      <c r="E13" s="27">
        <v>478724</v>
      </c>
      <c r="F13" s="12">
        <f t="shared" si="0"/>
        <v>6382.9866666666667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75</v>
      </c>
      <c r="E14" s="27">
        <v>313239</v>
      </c>
      <c r="F14" s="12">
        <f t="shared" si="0"/>
        <v>4176.5200000000004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5412742</v>
      </c>
      <c r="F15" s="12">
        <f t="shared" si="0"/>
        <v>72169.893333333326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50</v>
      </c>
      <c r="E16" s="27">
        <v>2507861</v>
      </c>
      <c r="F16" s="12">
        <f t="shared" si="0"/>
        <v>50157.22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75</v>
      </c>
      <c r="E17" s="27">
        <v>82186</v>
      </c>
      <c r="F17" s="12">
        <f t="shared" si="0"/>
        <v>1095.8133333333333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190555</v>
      </c>
      <c r="F18" s="12">
        <f t="shared" si="0"/>
        <v>9527.75</v>
      </c>
      <c r="G18" s="23" t="s">
        <v>4</v>
      </c>
      <c r="H18" s="2"/>
    </row>
    <row r="19" spans="1:8" ht="26.25" x14ac:dyDescent="0.25">
      <c r="A19" s="2"/>
      <c r="B19" s="47" t="s">
        <v>158</v>
      </c>
      <c r="C19" s="41">
        <v>2016</v>
      </c>
      <c r="D19" s="28">
        <v>20</v>
      </c>
      <c r="E19" s="27">
        <v>197600</v>
      </c>
      <c r="F19" s="12">
        <f t="shared" si="0"/>
        <v>9880</v>
      </c>
      <c r="G19" s="23" t="s">
        <v>4</v>
      </c>
      <c r="H19" s="2"/>
    </row>
    <row r="20" spans="1:8" ht="26.25" x14ac:dyDescent="0.25">
      <c r="A20" s="2"/>
      <c r="B20" s="47" t="s">
        <v>159</v>
      </c>
      <c r="C20" s="41">
        <v>2016</v>
      </c>
      <c r="D20" s="28">
        <v>50</v>
      </c>
      <c r="E20" s="27">
        <v>2012300</v>
      </c>
      <c r="F20" s="12">
        <f t="shared" si="0"/>
        <v>40246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5</v>
      </c>
      <c r="E21" s="27">
        <v>916096</v>
      </c>
      <c r="F21" s="12">
        <f t="shared" si="0"/>
        <v>183219.20000000001</v>
      </c>
      <c r="G21" s="23" t="s">
        <v>4</v>
      </c>
      <c r="H21" s="2"/>
    </row>
    <row r="22" spans="1:8" ht="26.25" x14ac:dyDescent="0.25">
      <c r="A22" s="2"/>
      <c r="B22" s="47" t="s">
        <v>161</v>
      </c>
      <c r="C22" s="41">
        <v>2016</v>
      </c>
      <c r="D22" s="28">
        <v>40</v>
      </c>
      <c r="E22" s="27">
        <v>82924</v>
      </c>
      <c r="F22" s="12">
        <f t="shared" si="0"/>
        <v>2073.1</v>
      </c>
      <c r="G22" s="23" t="s">
        <v>4</v>
      </c>
      <c r="H22" s="2"/>
    </row>
    <row r="23" spans="1:8" x14ac:dyDescent="0.25">
      <c r="A23" s="2"/>
      <c r="B23" s="47" t="s">
        <v>162</v>
      </c>
      <c r="C23" s="41">
        <v>2016</v>
      </c>
      <c r="D23" s="28">
        <v>10</v>
      </c>
      <c r="E23" s="27">
        <v>40708</v>
      </c>
      <c r="F23" s="12">
        <f t="shared" si="0"/>
        <v>4070.8</v>
      </c>
      <c r="G23" s="23" t="s">
        <v>4</v>
      </c>
      <c r="H23" s="2"/>
    </row>
    <row r="24" spans="1:8" x14ac:dyDescent="0.25">
      <c r="A24" s="2"/>
      <c r="B24" s="47" t="s">
        <v>163</v>
      </c>
      <c r="C24" s="41">
        <v>2016</v>
      </c>
      <c r="D24" s="28">
        <v>10</v>
      </c>
      <c r="E24" s="27">
        <v>26152</v>
      </c>
      <c r="F24" s="12">
        <f t="shared" si="0"/>
        <v>2615.1999999999998</v>
      </c>
      <c r="G24" s="23" t="s">
        <v>4</v>
      </c>
      <c r="H24" s="2"/>
    </row>
    <row r="25" spans="1:8" ht="26.25" x14ac:dyDescent="0.25">
      <c r="A25" s="2"/>
      <c r="B25" s="47" t="s">
        <v>164</v>
      </c>
      <c r="C25" s="41">
        <v>2016</v>
      </c>
      <c r="D25" s="28">
        <v>30</v>
      </c>
      <c r="E25" s="27">
        <v>16171</v>
      </c>
      <c r="F25" s="12">
        <f t="shared" si="0"/>
        <v>539.0333333333333</v>
      </c>
      <c r="G25" s="23" t="s">
        <v>4</v>
      </c>
      <c r="H25" s="2"/>
    </row>
    <row r="26" spans="1:8" x14ac:dyDescent="0.25">
      <c r="A26" s="2"/>
      <c r="B26" s="47" t="s">
        <v>165</v>
      </c>
      <c r="C26" s="41">
        <v>2016</v>
      </c>
      <c r="D26" s="28">
        <v>10</v>
      </c>
      <c r="E26" s="27">
        <v>1065176</v>
      </c>
      <c r="F26" s="12">
        <f t="shared" si="0"/>
        <v>106517.6</v>
      </c>
      <c r="G26" s="23" t="s">
        <v>4</v>
      </c>
      <c r="H26" s="2"/>
    </row>
    <row r="27" spans="1:8" x14ac:dyDescent="0.25">
      <c r="A27" s="2"/>
      <c r="B27" s="47" t="s">
        <v>166</v>
      </c>
      <c r="C27" s="41">
        <v>2016</v>
      </c>
      <c r="D27" s="28">
        <v>60</v>
      </c>
      <c r="E27" s="27">
        <v>3218837</v>
      </c>
      <c r="F27" s="12">
        <f t="shared" si="0"/>
        <v>53647.283333333333</v>
      </c>
      <c r="G27" s="23" t="s">
        <v>4</v>
      </c>
      <c r="H27" s="2"/>
    </row>
    <row r="28" spans="1:8" x14ac:dyDescent="0.25">
      <c r="A28" s="2"/>
      <c r="B28" s="47" t="s">
        <v>167</v>
      </c>
      <c r="C28" s="41">
        <v>2016</v>
      </c>
      <c r="D28" s="28">
        <v>20</v>
      </c>
      <c r="E28" s="27">
        <v>5246415</v>
      </c>
      <c r="F28" s="12">
        <f t="shared" si="0"/>
        <v>262320.75</v>
      </c>
      <c r="G28" s="23" t="s">
        <v>4</v>
      </c>
      <c r="H28" s="2"/>
    </row>
    <row r="29" spans="1:8" x14ac:dyDescent="0.25">
      <c r="A29" s="2"/>
      <c r="B29" s="47" t="s">
        <v>168</v>
      </c>
      <c r="C29" s="41">
        <v>2016</v>
      </c>
      <c r="D29" s="28">
        <v>10</v>
      </c>
      <c r="E29" s="27">
        <v>6160305</v>
      </c>
      <c r="F29" s="12">
        <f t="shared" si="0"/>
        <v>616030.5</v>
      </c>
      <c r="G29" s="23" t="s">
        <v>4</v>
      </c>
      <c r="H29" s="2"/>
    </row>
    <row r="30" spans="1:8" x14ac:dyDescent="0.25">
      <c r="A30" s="2"/>
      <c r="B30" s="47" t="s">
        <v>169</v>
      </c>
      <c r="C30" s="41">
        <v>2016</v>
      </c>
      <c r="D30" s="28">
        <v>60</v>
      </c>
      <c r="E30" s="27">
        <v>97989</v>
      </c>
      <c r="F30" s="12">
        <f t="shared" si="0"/>
        <v>1633.15</v>
      </c>
      <c r="G30" s="23" t="s">
        <v>4</v>
      </c>
      <c r="H30" s="2"/>
    </row>
    <row r="31" spans="1:8" x14ac:dyDescent="0.25">
      <c r="A31" s="2"/>
      <c r="B31" s="47" t="s">
        <v>170</v>
      </c>
      <c r="C31" s="41">
        <v>2016</v>
      </c>
      <c r="D31" s="28">
        <v>20</v>
      </c>
      <c r="E31" s="27">
        <v>40196</v>
      </c>
      <c r="F31" s="12">
        <f t="shared" si="0"/>
        <v>2009.8</v>
      </c>
      <c r="G31" s="23" t="s">
        <v>4</v>
      </c>
      <c r="H31" s="2"/>
    </row>
    <row r="32" spans="1:8" x14ac:dyDescent="0.25">
      <c r="A32" s="2"/>
      <c r="B32" s="47" t="s">
        <v>171</v>
      </c>
      <c r="C32" s="41">
        <v>2016</v>
      </c>
      <c r="D32" s="28">
        <v>10</v>
      </c>
      <c r="E32" s="27">
        <v>40196</v>
      </c>
      <c r="F32" s="12">
        <f t="shared" si="0"/>
        <v>4019.6</v>
      </c>
      <c r="G32" s="23" t="s">
        <v>4</v>
      </c>
      <c r="H32" s="2"/>
    </row>
    <row r="33" spans="1:8" x14ac:dyDescent="0.25">
      <c r="A33" s="2"/>
      <c r="B33" s="47" t="s">
        <v>172</v>
      </c>
      <c r="C33" s="41">
        <v>2016</v>
      </c>
      <c r="D33" s="28">
        <v>20</v>
      </c>
      <c r="E33" s="27">
        <v>123998</v>
      </c>
      <c r="F33" s="12">
        <f t="shared" si="0"/>
        <v>6199.9</v>
      </c>
      <c r="G33" s="23" t="s">
        <v>4</v>
      </c>
      <c r="H33" s="2"/>
    </row>
    <row r="34" spans="1:8" x14ac:dyDescent="0.25">
      <c r="A34" s="2"/>
      <c r="B34" s="47" t="s">
        <v>162</v>
      </c>
      <c r="C34" s="41">
        <v>2016</v>
      </c>
      <c r="D34" s="28">
        <v>10</v>
      </c>
      <c r="E34" s="27">
        <v>123998</v>
      </c>
      <c r="F34" s="12">
        <f t="shared" si="0"/>
        <v>12399.8</v>
      </c>
      <c r="G34" s="23" t="s">
        <v>4</v>
      </c>
      <c r="H34" s="2"/>
    </row>
    <row r="35" spans="1:8" x14ac:dyDescent="0.25">
      <c r="A35" s="2"/>
      <c r="B35" s="47" t="s">
        <v>173</v>
      </c>
      <c r="C35" s="41">
        <v>2016</v>
      </c>
      <c r="D35" s="28">
        <v>60</v>
      </c>
      <c r="E35" s="27">
        <v>128915</v>
      </c>
      <c r="F35" s="12">
        <f t="shared" si="0"/>
        <v>2148.5833333333335</v>
      </c>
      <c r="G35" s="23" t="s">
        <v>4</v>
      </c>
      <c r="H35" s="2"/>
    </row>
    <row r="36" spans="1:8" x14ac:dyDescent="0.25">
      <c r="A36" s="2"/>
      <c r="B36" s="47" t="s">
        <v>174</v>
      </c>
      <c r="C36" s="41">
        <v>2016</v>
      </c>
      <c r="D36" s="28">
        <v>50</v>
      </c>
      <c r="E36" s="27">
        <v>1529290</v>
      </c>
      <c r="F36" s="12">
        <f t="shared" si="0"/>
        <v>30585.8</v>
      </c>
      <c r="G36" s="23" t="s">
        <v>4</v>
      </c>
      <c r="H36" s="2"/>
    </row>
    <row r="37" spans="1:8" x14ac:dyDescent="0.25">
      <c r="A37" s="2"/>
      <c r="B37" s="47" t="s">
        <v>157</v>
      </c>
      <c r="C37" s="41">
        <v>2016</v>
      </c>
      <c r="D37" s="28">
        <v>30</v>
      </c>
      <c r="E37" s="27">
        <v>312191</v>
      </c>
      <c r="F37" s="12">
        <f t="shared" si="0"/>
        <v>10406.366666666667</v>
      </c>
      <c r="G37" s="23" t="s">
        <v>4</v>
      </c>
      <c r="H37" s="2"/>
    </row>
    <row r="38" spans="1:8" ht="26.25" x14ac:dyDescent="0.25">
      <c r="A38" s="2"/>
      <c r="B38" s="47" t="s">
        <v>175</v>
      </c>
      <c r="C38" s="41">
        <v>2016</v>
      </c>
      <c r="D38" s="28">
        <v>50</v>
      </c>
      <c r="E38" s="27">
        <v>810298</v>
      </c>
      <c r="F38" s="12">
        <f t="shared" si="0"/>
        <v>16205.96</v>
      </c>
      <c r="G38" s="23" t="s">
        <v>4</v>
      </c>
      <c r="H38" s="2"/>
    </row>
    <row r="39" spans="1:8" x14ac:dyDescent="0.25">
      <c r="A39" s="2"/>
      <c r="B39" s="82" t="s">
        <v>76</v>
      </c>
      <c r="C39" s="83"/>
      <c r="D39" s="83"/>
      <c r="E39" s="84"/>
      <c r="F39" s="21">
        <f>SUM(F10:F38)</f>
        <v>1690557.53</v>
      </c>
      <c r="G39" s="22" t="s">
        <v>4</v>
      </c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sheetProtection password="DFE9" sheet="1" objects="1" scenarios="1"/>
  <mergeCells count="4">
    <mergeCell ref="B39:E3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2017-10-13T11:58:59Z</dcterms:modified>
</cp:coreProperties>
</file>