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E10" i="15" l="1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9" i="2" l="1"/>
  <c r="E15" i="13"/>
  <c r="F11" i="11"/>
  <c r="F30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1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2" i="15" l="1"/>
  <c r="E13" i="15"/>
  <c r="E15" i="15" l="1"/>
  <c r="G15" i="15" s="1"/>
  <c r="G18" i="15" s="1"/>
</calcChain>
</file>

<file path=xl/sharedStrings.xml><?xml version="1.0" encoding="utf-8"?>
<sst xmlns="http://schemas.openxmlformats.org/spreadsheetml/2006/main" count="393" uniqueCount="200">
  <si>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</si>
  <si>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</si>
  <si>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</si>
  <si>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</si>
  <si>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</si>
  <si>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</si>
  <si>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</si>
  <si>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</si>
  <si>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</si>
  <si>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</si>
  <si>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</si>
  <si>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</si>
  <si>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</si>
  <si>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</si>
  <si>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</si>
  <si>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</si>
  <si>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</si>
  <si>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</si>
  <si>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</si>
  <si>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</si>
  <si>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</si>
  <si>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</si>
  <si>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</si>
  <si>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</si>
  <si>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</si>
  <si>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</si>
  <si>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</si>
  <si>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</si>
  <si>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</si>
  <si>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</si>
  <si>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</si>
  <si>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</si>
  <si>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</si>
  <si>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</si>
  <si>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</si>
  <si>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</si>
  <si>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</si>
  <si>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</si>
  <si>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</si>
  <si>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</si>
  <si>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</si>
  <si>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</si>
  <si>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</si>
  <si>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</si>
  <si>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</si>
  <si>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</si>
  <si>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</si>
  <si>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</si>
  <si>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</si>
  <si>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</si>
  <si>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</si>
  <si>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</si>
  <si>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</si>
  <si>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</si>
  <si>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</si>
  <si>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</si>
  <si>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</si>
  <si>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</si>
  <si>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</si>
  <si>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</si>
  <si>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</si>
  <si>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</si>
  <si>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</si>
  <si>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</si>
  <si>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</si>
  <si>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</si>
  <si>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</si>
  <si>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</si>
  <si>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</si>
  <si>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</si>
  <si>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</si>
  <si>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</si>
  <si>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</si>
  <si>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</si>
  <si>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</si>
  <si>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</si>
  <si>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</si>
  <si>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</si>
  <si>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</si>
  <si>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</si>
  <si>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</si>
  <si>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</si>
  <si>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</si>
  <si>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</si>
  <si>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</si>
  <si>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</si>
  <si>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</si>
  <si>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</si>
  <si>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</si>
  <si>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</si>
  <si>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</si>
  <si>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</si>
  <si>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</si>
  <si>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</si>
  <si>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</si>
  <si>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</si>
  <si>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</si>
  <si>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</si>
  <si>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</si>
  <si>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</si>
  <si>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</si>
  <si>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</si>
  <si>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</si>
  <si>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</si>
  <si>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</si>
  <si>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</si>
  <si>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</si>
  <si>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</si>
  <si>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</si>
  <si>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</si>
  <si>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</si>
  <si>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</si>
  <si>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</si>
  <si>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</si>
  <si>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</si>
  <si>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</si>
  <si>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</si>
  <si>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</si>
  <si>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</si>
  <si>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</si>
  <si>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</si>
  <si>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</si>
  <si>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</si>
  <si>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</si>
  <si>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</si>
  <si>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</si>
  <si>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</si>
  <si>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</si>
  <si>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</si>
  <si>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</si>
  <si>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</si>
  <si>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</si>
  <si>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</si>
  <si>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</si>
  <si>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</si>
  <si>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</si>
  <si>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</si>
  <si>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</si>
  <si>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</si>
  <si>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</si>
  <si>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</si>
  <si>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</si>
  <si>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</si>
  <si>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</si>
  <si>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</si>
  <si>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</si>
  <si>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</si>
  <si>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</si>
  <si>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</si>
  <si>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Ledningsnet ≤ Ø 200 mm</t>
  </si>
  <si>
    <t>Ø 200 mm &lt; Ledningsnet ≤ Ø 500 mm</t>
  </si>
  <si>
    <t>Ø 500 mm &lt; Ledningsnet ≤ Ø 800 mm</t>
  </si>
  <si>
    <t>Strømpeforing ≤ Ø 200 mm</t>
  </si>
  <si>
    <t>Strømpeforing Ø 500 mm &lt; Ledningsnet ≤ Ø 800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</si>
  <si>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</si>
  <si>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</si>
  <si>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</si>
  <si>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</si>
  <si>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</si>
  <si>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</si>
  <si>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</si>
  <si>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</si>
  <si>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Kælder</t>
  </si>
  <si>
    <t>Pumpeinstallation Miljøklasse A (100-300 l/s) - Mek/EL</t>
  </si>
  <si>
    <t>Jordbassin Klasse A</t>
  </si>
  <si>
    <t>Administrationbygninger</t>
  </si>
  <si>
    <t>Arbejdsplads</t>
  </si>
  <si>
    <t>Køretøjer, små lastvogne (&lt; 3.500 kg.)</t>
  </si>
  <si>
    <t>Køretøjer, entreprenørmaskiner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</si>
  <si>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</si>
  <si>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</si>
  <si>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</si>
  <si>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</si>
  <si>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</si>
  <si>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</si>
  <si>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</si>
  <si>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</si>
  <si>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</si>
  <si>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</si>
  <si>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</si>
  <si>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</si>
  <si>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</si>
  <si>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</si>
  <si>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</si>
  <si>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</si>
  <si>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</si>
  <si>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</si>
  <si>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</si>
  <si>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</si>
  <si>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</si>
  <si>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</si>
  <si>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</si>
  <si>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</si>
  <si>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</si>
  <si>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</si>
  <si>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 xml:space="preserve">Tilbagebetaling af vejbidag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</si>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</sst>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188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89" t="s">
        <v>80</v>
      </c>
      <c r="C9" s="90"/>
      <c r="D9" s="90"/>
      <c r="E9" s="90"/>
      <c r="F9" s="91"/>
      <c r="G9" s="27">
        <v>890598</v>
      </c>
      <c r="H9" s="23" t="s">
        <v>4</v>
      </c>
      <c r="I9" s="2"/>
    </row>
    <row r="10" spans="1:9" x14ac:dyDescent="0.25">
      <c r="A10" s="2"/>
      <c r="B10" s="89" t="s">
        <v>81</v>
      </c>
      <c r="C10" s="90"/>
      <c r="D10" s="90"/>
      <c r="E10" s="90"/>
      <c r="F10" s="91"/>
      <c r="G10" s="27">
        <v>1017000</v>
      </c>
      <c r="H10" s="23" t="s">
        <v>4</v>
      </c>
      <c r="I10" s="2"/>
    </row>
    <row r="11" spans="1:9" x14ac:dyDescent="0.25">
      <c r="A11" s="2"/>
      <c r="B11" s="99" t="s">
        <v>189</v>
      </c>
      <c r="C11" s="100"/>
      <c r="D11" s="100"/>
      <c r="E11" s="100"/>
      <c r="F11" s="101"/>
      <c r="G11" s="21">
        <f>G9-G10</f>
        <v>-126402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190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89" t="s">
        <v>82</v>
      </c>
      <c r="C15" s="90"/>
      <c r="D15" s="90"/>
      <c r="E15" s="90"/>
      <c r="F15" s="91"/>
      <c r="G15" s="27">
        <v>1583453</v>
      </c>
      <c r="H15" s="23" t="s">
        <v>4</v>
      </c>
      <c r="I15" s="2"/>
    </row>
    <row r="16" spans="1:9" x14ac:dyDescent="0.25">
      <c r="A16" s="2"/>
      <c r="B16" s="89" t="s">
        <v>83</v>
      </c>
      <c r="C16" s="90"/>
      <c r="D16" s="90"/>
      <c r="E16" s="90"/>
      <c r="F16" s="91"/>
      <c r="G16" s="27">
        <v>1510000</v>
      </c>
      <c r="H16" s="23" t="s">
        <v>4</v>
      </c>
      <c r="I16" s="2"/>
    </row>
    <row r="17" spans="1:9" x14ac:dyDescent="0.25">
      <c r="A17" s="2"/>
      <c r="B17" s="99" t="s">
        <v>190</v>
      </c>
      <c r="C17" s="100"/>
      <c r="D17" s="100"/>
      <c r="E17" s="100"/>
      <c r="F17" s="101"/>
      <c r="G17" s="21">
        <f>G15-G16</f>
        <v>73453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191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89" t="s">
        <v>84</v>
      </c>
      <c r="C21" s="90"/>
      <c r="D21" s="90"/>
      <c r="E21" s="90"/>
      <c r="F21" s="91"/>
      <c r="G21" s="27">
        <v>745600</v>
      </c>
      <c r="H21" s="23" t="s">
        <v>4</v>
      </c>
      <c r="I21" s="2"/>
    </row>
    <row r="22" spans="1:9" x14ac:dyDescent="0.25">
      <c r="A22" s="2"/>
      <c r="B22" s="89" t="s">
        <v>85</v>
      </c>
      <c r="C22" s="90"/>
      <c r="D22" s="90"/>
      <c r="E22" s="90"/>
      <c r="F22" s="91"/>
      <c r="G22" s="27">
        <v>442400</v>
      </c>
      <c r="H22" s="23" t="s">
        <v>4</v>
      </c>
      <c r="I22" s="2"/>
    </row>
    <row r="23" spans="1:9" x14ac:dyDescent="0.25">
      <c r="A23" s="2"/>
      <c r="B23" s="99" t="s">
        <v>191</v>
      </c>
      <c r="C23" s="100"/>
      <c r="D23" s="100"/>
      <c r="E23" s="100"/>
      <c r="F23" s="101"/>
      <c r="G23" s="21">
        <f>G21-G22</f>
        <v>303200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192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86" t="s">
        <v>86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87</v>
      </c>
      <c r="C28" s="90"/>
      <c r="D28" s="90"/>
      <c r="E28" s="90"/>
      <c r="F28" s="91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192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89" t="s">
        <v>89</v>
      </c>
      <c r="C33" s="90"/>
      <c r="D33" s="90"/>
      <c r="E33" s="90"/>
      <c r="F33" s="91"/>
      <c r="G33" s="12">
        <f>'Fane 8. Gen. inv. i 2016'!F31</f>
        <v>1580493.2585333334</v>
      </c>
      <c r="H33" s="23" t="s">
        <v>4</v>
      </c>
      <c r="I33" s="2"/>
    </row>
    <row r="34" spans="1:9" x14ac:dyDescent="0.25">
      <c r="A34" s="2"/>
      <c r="B34" s="89" t="s">
        <v>90</v>
      </c>
      <c r="C34" s="90"/>
      <c r="D34" s="90"/>
      <c r="E34" s="90"/>
      <c r="F34" s="91"/>
      <c r="G34" s="27">
        <v>1808333.3333333335</v>
      </c>
      <c r="H34" s="23" t="s">
        <v>4</v>
      </c>
      <c r="I34" s="2"/>
    </row>
    <row r="35" spans="1:9" x14ac:dyDescent="0.25">
      <c r="A35" s="2"/>
      <c r="B35" s="99" t="s">
        <v>88</v>
      </c>
      <c r="C35" s="100"/>
      <c r="D35" s="100"/>
      <c r="E35" s="100"/>
      <c r="F35" s="101"/>
      <c r="G35" s="21">
        <f>G33-G34</f>
        <v>-227840.07480000006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99" t="s">
        <v>193</v>
      </c>
      <c r="C38" s="100"/>
      <c r="D38" s="100"/>
      <c r="E38" s="100"/>
      <c r="F38" s="100"/>
      <c r="G38" s="100"/>
      <c r="H38" s="101"/>
      <c r="I38" s="2"/>
    </row>
    <row r="39" spans="1:9" x14ac:dyDescent="0.25">
      <c r="A39" s="2"/>
      <c r="B39" s="89" t="s">
        <v>146</v>
      </c>
      <c r="C39" s="90"/>
      <c r="D39" s="90"/>
      <c r="E39" s="90"/>
      <c r="F39" s="91"/>
      <c r="G39" s="27"/>
      <c r="H39" s="23" t="s">
        <v>4</v>
      </c>
      <c r="I39" s="2"/>
    </row>
    <row r="40" spans="1:9" x14ac:dyDescent="0.25">
      <c r="A40" s="2"/>
      <c r="B40" s="89" t="s">
        <v>79</v>
      </c>
      <c r="C40" s="90"/>
      <c r="D40" s="90"/>
      <c r="E40" s="90"/>
      <c r="F40" s="91"/>
      <c r="G40" s="27"/>
      <c r="H40" s="23" t="s">
        <v>4</v>
      </c>
      <c r="I40" s="2"/>
    </row>
    <row r="41" spans="1:9" x14ac:dyDescent="0.25">
      <c r="A41" s="2"/>
      <c r="B41" s="99" t="s">
        <v>193</v>
      </c>
      <c r="C41" s="100"/>
      <c r="D41" s="100"/>
      <c r="E41" s="100"/>
      <c r="F41" s="101"/>
      <c r="G41" s="21">
        <f>G39-G40</f>
        <v>0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92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93</v>
      </c>
      <c r="C9" s="97"/>
      <c r="D9" s="97"/>
      <c r="E9" s="97"/>
      <c r="F9" s="98"/>
      <c r="G9" s="26">
        <v>65377757.257299632</v>
      </c>
      <c r="H9" s="38" t="s">
        <v>4</v>
      </c>
      <c r="I9" s="2"/>
    </row>
    <row r="10" spans="1:9" x14ac:dyDescent="0.25">
      <c r="A10" s="2"/>
      <c r="B10" s="99" t="s">
        <v>94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35666061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95</v>
      </c>
      <c r="C12" s="90"/>
      <c r="D12" s="91"/>
      <c r="E12" s="27">
        <v>6929685.0250000004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96</v>
      </c>
      <c r="C13" s="90"/>
      <c r="D13" s="91"/>
      <c r="E13" s="27">
        <v>1769731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97</v>
      </c>
      <c r="C14" s="90"/>
      <c r="D14" s="91"/>
      <c r="E14" s="27">
        <v>3295425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47660902.024999999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28110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28110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-2223328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-28894570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-21292233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-52410131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-4721118.9750000015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9" t="s">
        <v>98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98</v>
      </c>
      <c r="C30" s="97"/>
      <c r="D30" s="98"/>
      <c r="E30" s="26">
        <v>1031876</v>
      </c>
      <c r="F30" s="38" t="s">
        <v>4</v>
      </c>
      <c r="G30" s="18">
        <f>-$E$30</f>
        <v>-1031876</v>
      </c>
      <c r="H30" s="38" t="s">
        <v>4</v>
      </c>
      <c r="I30" s="2"/>
    </row>
    <row r="31" spans="1:9" x14ac:dyDescent="0.25">
      <c r="A31" s="2"/>
      <c r="B31" s="117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62896305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1426004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64322309</v>
      </c>
      <c r="F35" s="38" t="s">
        <v>4</v>
      </c>
      <c r="G35" s="18">
        <f>-E35</f>
        <v>-64322309</v>
      </c>
      <c r="H35" s="38" t="s">
        <v>4</v>
      </c>
      <c r="I35" s="2"/>
    </row>
    <row r="36" spans="1:9" x14ac:dyDescent="0.25">
      <c r="A36" s="2"/>
      <c r="B36" s="99" t="s">
        <v>99</v>
      </c>
      <c r="C36" s="100"/>
      <c r="D36" s="100"/>
      <c r="E36" s="100"/>
      <c r="F36" s="101"/>
      <c r="G36" s="21">
        <f>$G$9+$G$28+$G$30+$G$35</f>
        <v>23572.257299631834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185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118</v>
      </c>
      <c r="C9" s="94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186</v>
      </c>
      <c r="C10" s="119"/>
      <c r="D10" s="48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135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148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181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199</v>
      </c>
      <c r="C16" s="93"/>
      <c r="D16" s="93"/>
      <c r="E16" s="94"/>
      <c r="F16" s="116" t="s">
        <v>182</v>
      </c>
      <c r="G16" s="116"/>
      <c r="H16" s="2"/>
    </row>
    <row r="17" spans="1:8" x14ac:dyDescent="0.25">
      <c r="A17" s="2"/>
      <c r="B17" s="89" t="s">
        <v>195</v>
      </c>
      <c r="C17" s="90"/>
      <c r="D17" s="90"/>
      <c r="E17" s="91"/>
      <c r="F17" s="27">
        <v>622878</v>
      </c>
      <c r="G17" s="23" t="s">
        <v>4</v>
      </c>
      <c r="H17" s="2"/>
    </row>
    <row r="18" spans="1:8" x14ac:dyDescent="0.25">
      <c r="A18" s="2"/>
      <c r="B18" s="99" t="s">
        <v>183</v>
      </c>
      <c r="C18" s="100"/>
      <c r="D18" s="100"/>
      <c r="E18" s="101"/>
      <c r="F18" s="21">
        <f>SUM(F17:F17)</f>
        <v>622878</v>
      </c>
      <c r="G18" s="22" t="s">
        <v>4</v>
      </c>
      <c r="H18" s="2"/>
    </row>
    <row r="19" spans="1:8" x14ac:dyDescent="0.25">
      <c r="A19" s="2"/>
      <c r="B19" s="99" t="s">
        <v>184</v>
      </c>
      <c r="C19" s="100"/>
      <c r="D19" s="100"/>
      <c r="E19" s="101"/>
      <c r="F19" s="21">
        <f>F18*(1+'Fane 2.1. Økonomisk ramme 2018'!E19/100)</f>
        <v>633778.36499999999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119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194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130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147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67125602.989258304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1113852.0202474599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123</v>
      </c>
      <c r="C11" s="90"/>
      <c r="D11" s="91"/>
      <c r="E11" s="12">
        <f>'Fane 4. Ikke-påvirkelige omk.'!G19</f>
        <v>-296685.19354650012</v>
      </c>
      <c r="F11" s="9" t="s">
        <v>4</v>
      </c>
      <c r="G11" s="13"/>
      <c r="H11" s="14"/>
      <c r="I11" s="2"/>
    </row>
    <row r="12" spans="1:9" x14ac:dyDescent="0.25">
      <c r="A12" s="2"/>
      <c r="B12" s="54" t="s">
        <v>197</v>
      </c>
      <c r="C12" s="52"/>
      <c r="D12" s="53"/>
      <c r="E12" s="12">
        <f>'Fane 5. Individuelt eff.krav'!G10</f>
        <v>-766004.13785798708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177</v>
      </c>
      <c r="C13" s="102"/>
      <c r="D13" s="103"/>
      <c r="E13" s="12">
        <f>'Fane 3. Korrigeret grundlag'!G22</f>
        <v>1351795.5549999999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131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132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181</v>
      </c>
      <c r="C16" s="87"/>
      <c r="D16" s="88"/>
      <c r="E16" s="12">
        <f>'Fane 11. Tillæg'!F19</f>
        <v>633778.36499999999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133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134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125</v>
      </c>
      <c r="C20" s="90"/>
      <c r="D20" s="91"/>
      <c r="E20" s="12">
        <f>SUM(E9,E11:E18)*(E19/100)</f>
        <v>1190848.5326124418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73228.499540743156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1237234.0128317066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187</v>
      </c>
      <c r="C23" s="97"/>
      <c r="D23" s="98"/>
      <c r="E23" s="18">
        <f>SUM(E9,E11:E18,E20)-SUM(E21:E22)</f>
        <v>67928873.598093808</v>
      </c>
      <c r="F23" s="19" t="s">
        <v>4</v>
      </c>
      <c r="G23" s="18">
        <f>E23</f>
        <v>67928873.598093808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99" t="s">
        <v>100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107</v>
      </c>
      <c r="C27" s="87"/>
      <c r="D27" s="88"/>
      <c r="E27" s="12">
        <f>'Fane 9. Korrektion af PL2016'!G11</f>
        <v>-126402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101</v>
      </c>
      <c r="C28" s="87"/>
      <c r="D28" s="88"/>
      <c r="E28" s="12">
        <f>'Fane 9. Korrektion af PL2016'!G17</f>
        <v>73453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102</v>
      </c>
      <c r="C29" s="87"/>
      <c r="D29" s="88"/>
      <c r="E29" s="12">
        <f>'Fane 9. Korrektion af PL2016'!G23</f>
        <v>303200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103</v>
      </c>
      <c r="C30" s="87"/>
      <c r="D30" s="88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104</v>
      </c>
      <c r="C31" s="87"/>
      <c r="D31" s="88"/>
      <c r="E31" s="12">
        <f>'Fane 9. Korrektion af PL2016'!G35</f>
        <v>-227840.07480000006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6" t="s">
        <v>78</v>
      </c>
      <c r="C32" s="87"/>
      <c r="D32" s="88"/>
      <c r="E32" s="12">
        <f>'Fane 9. Korrektion af PL2016'!G41</f>
        <v>0</v>
      </c>
      <c r="F32" s="9" t="s">
        <v>4</v>
      </c>
      <c r="G32" s="16"/>
      <c r="H32" s="17"/>
      <c r="I32" s="2"/>
    </row>
    <row r="33" spans="1:9" x14ac:dyDescent="0.25">
      <c r="A33" s="2"/>
      <c r="B33" s="92" t="s">
        <v>105</v>
      </c>
      <c r="C33" s="93"/>
      <c r="D33" s="94"/>
      <c r="E33" s="18">
        <f>SUM(E27:E32)</f>
        <v>22410.92519999994</v>
      </c>
      <c r="F33" s="19" t="s">
        <v>4</v>
      </c>
      <c r="G33" s="18">
        <f>E33</f>
        <v>22410.92519999994</v>
      </c>
      <c r="H33" s="19" t="s">
        <v>4</v>
      </c>
      <c r="I33" s="2"/>
    </row>
    <row r="34" spans="1:9" x14ac:dyDescent="0.25">
      <c r="A34" s="2"/>
      <c r="B34" s="99" t="s">
        <v>18</v>
      </c>
      <c r="C34" s="100"/>
      <c r="D34" s="100"/>
      <c r="E34" s="100"/>
      <c r="F34" s="100"/>
      <c r="G34" s="100"/>
      <c r="H34" s="101"/>
      <c r="I34" s="2"/>
    </row>
    <row r="35" spans="1:9" x14ac:dyDescent="0.25">
      <c r="A35" s="2"/>
      <c r="B35" s="92" t="s">
        <v>106</v>
      </c>
      <c r="C35" s="93"/>
      <c r="D35" s="94"/>
      <c r="E35" s="18">
        <f>'Fane 10. Kontrol af PL2016'!G36</f>
        <v>23572.257299631834</v>
      </c>
      <c r="F35" s="19" t="s">
        <v>4</v>
      </c>
      <c r="G35" s="18">
        <f>E35</f>
        <v>23572.257299631834</v>
      </c>
      <c r="H35" s="19" t="s">
        <v>4</v>
      </c>
      <c r="I35" s="2"/>
    </row>
    <row r="36" spans="1:9" x14ac:dyDescent="0.25">
      <c r="A36" s="2"/>
      <c r="B36" s="99" t="s">
        <v>62</v>
      </c>
      <c r="C36" s="100"/>
      <c r="D36" s="100"/>
      <c r="E36" s="100"/>
      <c r="F36" s="101"/>
      <c r="G36" s="21">
        <f>G23+G25+G33+G35</f>
        <v>67974856.78059344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108</v>
      </c>
      <c r="C9" s="87"/>
      <c r="D9" s="88"/>
      <c r="E9" s="8">
        <f>'Fane 2.1. Økonomisk ramme 2018'!G23-'Fane 2.1. Økonomisk ramme 2018'!E13*(1+0.0175)*(1-0.02-'Fane 5. Individuelt eff.krav'!G11/100)</f>
        <v>66582417.051013432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2018'!E10:E11))*(1+'Fane 2.1. Økonomisk ramme 2018'!E19/100)</f>
        <v>831467.2461682267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177</v>
      </c>
      <c r="C11" s="59"/>
      <c r="D11" s="60"/>
      <c r="E11" s="12">
        <v>110669.06159375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1167129.0069706256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72419.301885776877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1238085.6295968997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187</v>
      </c>
      <c r="C15" s="97"/>
      <c r="D15" s="98"/>
      <c r="E15" s="18">
        <f>$E$9+$E$12-$E$13-$E$14+E11</f>
        <v>66549710.188095123</v>
      </c>
      <c r="F15" s="19" t="s">
        <v>4</v>
      </c>
      <c r="G15" s="18">
        <f>E15</f>
        <v>66549710.188095123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99" t="s">
        <v>109</v>
      </c>
      <c r="C18" s="100"/>
      <c r="D18" s="100"/>
      <c r="E18" s="100"/>
      <c r="F18" s="101"/>
      <c r="G18" s="21">
        <f>G15+G17</f>
        <v>66549710.188095123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112</v>
      </c>
      <c r="C9" s="90"/>
      <c r="D9" s="90"/>
      <c r="E9" s="90"/>
      <c r="F9" s="91"/>
      <c r="G9" s="27">
        <v>15113477.742708901</v>
      </c>
      <c r="H9" s="23" t="s">
        <v>4</v>
      </c>
      <c r="I9" s="2"/>
    </row>
    <row r="10" spans="1:9" x14ac:dyDescent="0.25">
      <c r="A10" s="2"/>
      <c r="B10" s="89" t="s">
        <v>113</v>
      </c>
      <c r="C10" s="90"/>
      <c r="D10" s="90"/>
      <c r="E10" s="90"/>
      <c r="F10" s="91"/>
      <c r="G10" s="27">
        <v>50898273.226301946</v>
      </c>
      <c r="H10" s="23" t="s">
        <v>4</v>
      </c>
      <c r="I10" s="2"/>
    </row>
    <row r="11" spans="1:9" x14ac:dyDescent="0.25">
      <c r="A11" s="2"/>
      <c r="B11" s="89" t="s">
        <v>140</v>
      </c>
      <c r="C11" s="90"/>
      <c r="D11" s="90"/>
      <c r="E11" s="90"/>
      <c r="F11" s="91"/>
      <c r="G11" s="27">
        <v>1113852.0202474599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67125602.989258304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177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178</v>
      </c>
      <c r="C20" s="90"/>
      <c r="D20" s="90"/>
      <c r="E20" s="90"/>
      <c r="F20" s="91"/>
      <c r="G20" s="27">
        <v>0</v>
      </c>
      <c r="H20" s="23" t="s">
        <v>4</v>
      </c>
      <c r="I20" s="2"/>
    </row>
    <row r="21" spans="1:9" x14ac:dyDescent="0.25">
      <c r="A21" s="2"/>
      <c r="B21" s="89" t="s">
        <v>179</v>
      </c>
      <c r="C21" s="90"/>
      <c r="D21" s="90"/>
      <c r="E21" s="90"/>
      <c r="F21" s="91"/>
      <c r="G21" s="27">
        <v>1351795.5549999999</v>
      </c>
      <c r="H21" s="23" t="s">
        <v>4</v>
      </c>
      <c r="I21" s="2"/>
    </row>
    <row r="22" spans="1:9" x14ac:dyDescent="0.25">
      <c r="A22" s="2"/>
      <c r="B22" s="104" t="s">
        <v>180</v>
      </c>
      <c r="C22" s="105"/>
      <c r="D22" s="105"/>
      <c r="E22" s="105"/>
      <c r="F22" s="106"/>
      <c r="G22" s="21">
        <f>SUM(G20:G21)</f>
        <v>1351795.5549999999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115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117</v>
      </c>
      <c r="C9" s="93"/>
      <c r="D9" s="94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169</v>
      </c>
      <c r="C10" s="109"/>
      <c r="D10" s="109"/>
      <c r="E10" s="49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170</v>
      </c>
      <c r="C11" s="109"/>
      <c r="D11" s="109"/>
      <c r="E11" s="49">
        <v>586617.35100000002</v>
      </c>
      <c r="F11" s="23" t="s">
        <v>4</v>
      </c>
      <c r="G11" s="27">
        <v>563873</v>
      </c>
      <c r="H11" s="23" t="s">
        <v>4</v>
      </c>
      <c r="I11" s="2"/>
    </row>
    <row r="12" spans="1:9" x14ac:dyDescent="0.25">
      <c r="A12" s="2"/>
      <c r="B12" s="108" t="s">
        <v>171</v>
      </c>
      <c r="C12" s="109"/>
      <c r="D12" s="109"/>
      <c r="E12" s="49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172</v>
      </c>
      <c r="C13" s="109"/>
      <c r="D13" s="109"/>
      <c r="E13" s="49">
        <v>32399.4126</v>
      </c>
      <c r="F13" s="23" t="s">
        <v>4</v>
      </c>
      <c r="G13" s="27">
        <v>74803</v>
      </c>
      <c r="H13" s="23" t="s">
        <v>4</v>
      </c>
      <c r="I13" s="2"/>
    </row>
    <row r="14" spans="1:9" x14ac:dyDescent="0.25">
      <c r="A14" s="2"/>
      <c r="B14" s="108" t="s">
        <v>173</v>
      </c>
      <c r="C14" s="109"/>
      <c r="D14" s="109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174</v>
      </c>
      <c r="C15" s="109"/>
      <c r="D15" s="109"/>
      <c r="E15" s="49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8" t="s">
        <v>175</v>
      </c>
      <c r="C16" s="109"/>
      <c r="D16" s="109"/>
      <c r="E16" s="49">
        <v>480866.73619999998</v>
      </c>
      <c r="F16" s="23" t="s">
        <v>4</v>
      </c>
      <c r="G16" s="27">
        <v>169625</v>
      </c>
      <c r="H16" s="23" t="s">
        <v>4</v>
      </c>
      <c r="I16" s="2"/>
    </row>
    <row r="17" spans="1:9" x14ac:dyDescent="0.25">
      <c r="A17" s="2"/>
      <c r="B17" s="108" t="s">
        <v>176</v>
      </c>
      <c r="C17" s="109"/>
      <c r="D17" s="109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9" t="s">
        <v>136</v>
      </c>
      <c r="C18" s="100"/>
      <c r="D18" s="100"/>
      <c r="E18" s="100"/>
      <c r="F18" s="101"/>
      <c r="G18" s="21">
        <f>SUM(G10:G17)-SUM(E10:E17)</f>
        <v>-291582.49980000011</v>
      </c>
      <c r="H18" s="22" t="s">
        <v>4</v>
      </c>
      <c r="I18" s="2"/>
    </row>
    <row r="19" spans="1:9" x14ac:dyDescent="0.25">
      <c r="A19" s="2"/>
      <c r="B19" s="99" t="s">
        <v>137</v>
      </c>
      <c r="C19" s="100"/>
      <c r="D19" s="100"/>
      <c r="E19" s="100"/>
      <c r="F19" s="101"/>
      <c r="G19" s="21">
        <f>G18*(1+'Fane 2.1. Økonomisk ramme 2018'!E19/100)</f>
        <v>-296685.19354650012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67363546.524010852</v>
      </c>
      <c r="H9" s="23" t="s">
        <v>4</v>
      </c>
      <c r="I9" s="2"/>
    </row>
    <row r="10" spans="1:9" x14ac:dyDescent="0.25">
      <c r="A10" s="2"/>
      <c r="B10" s="51" t="s">
        <v>197</v>
      </c>
      <c r="C10" s="52"/>
      <c r="D10" s="52"/>
      <c r="E10" s="52"/>
      <c r="F10" s="53"/>
      <c r="G10" s="12">
        <v>-766004.13785798708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0.108065611341009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73228.499540743156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16465273.297708901</v>
      </c>
      <c r="H9" s="23" t="s">
        <v>4</v>
      </c>
      <c r="I9" s="2"/>
    </row>
    <row r="10" spans="1:9" x14ac:dyDescent="0.25">
      <c r="A10" s="2"/>
      <c r="B10" s="55" t="s">
        <v>196</v>
      </c>
      <c r="C10" s="56"/>
      <c r="D10" s="56"/>
      <c r="E10" s="56"/>
      <c r="F10" s="57"/>
      <c r="G10" s="12">
        <v>-300793.50166569802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328947.16384947917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50898273.226301946</v>
      </c>
      <c r="H13" s="23" t="s">
        <v>4</v>
      </c>
      <c r="I13" s="2"/>
    </row>
    <row r="14" spans="1:9" x14ac:dyDescent="0.25">
      <c r="A14" s="2"/>
      <c r="B14" s="51" t="s">
        <v>198</v>
      </c>
      <c r="C14" s="52"/>
      <c r="D14" s="52"/>
      <c r="E14" s="52"/>
      <c r="F14" s="53"/>
      <c r="G14" s="12">
        <v>-465210.63619228906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908286.8489822275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1237234.0128317066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-7471170</v>
      </c>
      <c r="H9" s="23" t="s">
        <v>4</v>
      </c>
      <c r="I9" s="2"/>
    </row>
    <row r="10" spans="1:9" x14ac:dyDescent="0.25">
      <c r="A10" s="2"/>
      <c r="B10" s="89" t="s">
        <v>122</v>
      </c>
      <c r="C10" s="90"/>
      <c r="D10" s="90"/>
      <c r="E10" s="90"/>
      <c r="F10" s="91"/>
      <c r="G10" s="27">
        <v>-7471170.111111111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0">
        <f>G9-G10</f>
        <v>0.11111111100763083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0</v>
      </c>
      <c r="H12" s="23" t="s">
        <v>127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6937403.5099999998</v>
      </c>
      <c r="F10" s="12">
        <f>E10/D10</f>
        <v>92498.713466666668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75</v>
      </c>
      <c r="E11" s="27">
        <v>4368191.9400000004</v>
      </c>
      <c r="F11" s="12">
        <f t="shared" ref="F11:F30" si="0">E11/D11</f>
        <v>58242.559200000003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75</v>
      </c>
      <c r="E12" s="27">
        <v>6491.87</v>
      </c>
      <c r="F12" s="12">
        <f t="shared" si="0"/>
        <v>86.558266666666668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50</v>
      </c>
      <c r="E13" s="27">
        <v>512952.43</v>
      </c>
      <c r="F13" s="12">
        <f t="shared" si="0"/>
        <v>10259.0486</v>
      </c>
      <c r="G13" s="23" t="s">
        <v>4</v>
      </c>
      <c r="H13" s="2"/>
    </row>
    <row r="14" spans="1:8" ht="26.25" x14ac:dyDescent="0.25">
      <c r="A14" s="2"/>
      <c r="B14" s="47" t="s">
        <v>153</v>
      </c>
      <c r="C14" s="41">
        <v>2016</v>
      </c>
      <c r="D14" s="28">
        <v>50</v>
      </c>
      <c r="E14" s="27">
        <v>129547.49</v>
      </c>
      <c r="F14" s="12">
        <f t="shared" si="0"/>
        <v>2590.9498000000003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75</v>
      </c>
      <c r="E15" s="27">
        <v>1119969.8899999999</v>
      </c>
      <c r="F15" s="12">
        <f t="shared" si="0"/>
        <v>14932.931866666666</v>
      </c>
      <c r="G15" s="23" t="s">
        <v>4</v>
      </c>
      <c r="H15" s="2"/>
    </row>
    <row r="16" spans="1:8" x14ac:dyDescent="0.25">
      <c r="A16" s="2"/>
      <c r="B16" s="47" t="s">
        <v>155</v>
      </c>
      <c r="C16" s="41">
        <v>2016</v>
      </c>
      <c r="D16" s="28">
        <v>75</v>
      </c>
      <c r="E16" s="27">
        <v>200315.34</v>
      </c>
      <c r="F16" s="12">
        <f t="shared" si="0"/>
        <v>2670.8712</v>
      </c>
      <c r="G16" s="23" t="s">
        <v>4</v>
      </c>
      <c r="H16" s="2"/>
    </row>
    <row r="17" spans="1:8" ht="26.25" x14ac:dyDescent="0.25">
      <c r="A17" s="2"/>
      <c r="B17" s="47" t="s">
        <v>156</v>
      </c>
      <c r="C17" s="41">
        <v>2016</v>
      </c>
      <c r="D17" s="28">
        <v>30</v>
      </c>
      <c r="E17" s="27">
        <v>241439.86</v>
      </c>
      <c r="F17" s="12">
        <f t="shared" si="0"/>
        <v>8047.9953333333333</v>
      </c>
      <c r="G17" s="23" t="s">
        <v>4</v>
      </c>
      <c r="H17" s="2"/>
    </row>
    <row r="18" spans="1:8" ht="26.25" x14ac:dyDescent="0.25">
      <c r="A18" s="2"/>
      <c r="B18" s="47" t="s">
        <v>157</v>
      </c>
      <c r="C18" s="41">
        <v>2016</v>
      </c>
      <c r="D18" s="28">
        <v>50</v>
      </c>
      <c r="E18" s="27">
        <v>188000</v>
      </c>
      <c r="F18" s="12">
        <f t="shared" si="0"/>
        <v>3760</v>
      </c>
      <c r="G18" s="23" t="s">
        <v>4</v>
      </c>
      <c r="H18" s="2"/>
    </row>
    <row r="19" spans="1:8" x14ac:dyDescent="0.25">
      <c r="A19" s="2"/>
      <c r="B19" s="47" t="s">
        <v>158</v>
      </c>
      <c r="C19" s="41">
        <v>2016</v>
      </c>
      <c r="D19" s="28">
        <v>20</v>
      </c>
      <c r="E19" s="27">
        <v>188517</v>
      </c>
      <c r="F19" s="12">
        <f t="shared" si="0"/>
        <v>9425.85</v>
      </c>
      <c r="G19" s="23" t="s">
        <v>4</v>
      </c>
      <c r="H19" s="2"/>
    </row>
    <row r="20" spans="1:8" ht="26.25" x14ac:dyDescent="0.25">
      <c r="A20" s="2"/>
      <c r="B20" s="47" t="s">
        <v>159</v>
      </c>
      <c r="C20" s="41">
        <v>2016</v>
      </c>
      <c r="D20" s="28">
        <v>50</v>
      </c>
      <c r="E20" s="27">
        <v>2505003.5299999998</v>
      </c>
      <c r="F20" s="12">
        <f t="shared" si="0"/>
        <v>50100.070599999999</v>
      </c>
      <c r="G20" s="23" t="s">
        <v>4</v>
      </c>
      <c r="H20" s="2"/>
    </row>
    <row r="21" spans="1:8" ht="26.25" x14ac:dyDescent="0.25">
      <c r="A21" s="2"/>
      <c r="B21" s="47" t="s">
        <v>160</v>
      </c>
      <c r="C21" s="41">
        <v>2016</v>
      </c>
      <c r="D21" s="28">
        <v>20</v>
      </c>
      <c r="E21" s="27">
        <v>3768143.18</v>
      </c>
      <c r="F21" s="12">
        <f t="shared" si="0"/>
        <v>188407.15900000001</v>
      </c>
      <c r="G21" s="23" t="s">
        <v>4</v>
      </c>
      <c r="H21" s="2"/>
    </row>
    <row r="22" spans="1:8" ht="26.25" x14ac:dyDescent="0.25">
      <c r="A22" s="2"/>
      <c r="B22" s="47" t="s">
        <v>161</v>
      </c>
      <c r="C22" s="41">
        <v>2016</v>
      </c>
      <c r="D22" s="28">
        <v>10</v>
      </c>
      <c r="E22" s="27">
        <v>2166819.48</v>
      </c>
      <c r="F22" s="12">
        <f t="shared" si="0"/>
        <v>216681.948</v>
      </c>
      <c r="G22" s="23" t="s">
        <v>4</v>
      </c>
      <c r="H22" s="2"/>
    </row>
    <row r="23" spans="1:8" x14ac:dyDescent="0.25">
      <c r="A23" s="2"/>
      <c r="B23" s="47" t="s">
        <v>162</v>
      </c>
      <c r="C23" s="41">
        <v>2016</v>
      </c>
      <c r="D23" s="28">
        <v>75</v>
      </c>
      <c r="E23" s="27">
        <v>124141.5</v>
      </c>
      <c r="F23" s="12">
        <f t="shared" si="0"/>
        <v>1655.22</v>
      </c>
      <c r="G23" s="23" t="s">
        <v>4</v>
      </c>
      <c r="H23" s="2"/>
    </row>
    <row r="24" spans="1:8" ht="26.25" x14ac:dyDescent="0.25">
      <c r="A24" s="2"/>
      <c r="B24" s="47" t="s">
        <v>163</v>
      </c>
      <c r="C24" s="41">
        <v>2016</v>
      </c>
      <c r="D24" s="28">
        <v>20</v>
      </c>
      <c r="E24" s="27">
        <v>258110</v>
      </c>
      <c r="F24" s="12">
        <f t="shared" si="0"/>
        <v>12905.5</v>
      </c>
      <c r="G24" s="23" t="s">
        <v>4</v>
      </c>
      <c r="H24" s="2"/>
    </row>
    <row r="25" spans="1:8" x14ac:dyDescent="0.25">
      <c r="A25" s="2"/>
      <c r="B25" s="47" t="s">
        <v>164</v>
      </c>
      <c r="C25" s="41">
        <v>2016</v>
      </c>
      <c r="D25" s="28">
        <v>50</v>
      </c>
      <c r="E25" s="27">
        <v>1716926.26</v>
      </c>
      <c r="F25" s="12">
        <f t="shared" si="0"/>
        <v>34338.525200000004</v>
      </c>
      <c r="G25" s="23" t="s">
        <v>4</v>
      </c>
      <c r="H25" s="2"/>
    </row>
    <row r="26" spans="1:8" x14ac:dyDescent="0.25">
      <c r="A26" s="2"/>
      <c r="B26" s="47" t="s">
        <v>165</v>
      </c>
      <c r="C26" s="41">
        <v>2016</v>
      </c>
      <c r="D26" s="28">
        <v>75</v>
      </c>
      <c r="E26" s="27">
        <v>99804</v>
      </c>
      <c r="F26" s="12">
        <f t="shared" si="0"/>
        <v>1330.72</v>
      </c>
      <c r="G26" s="23" t="s">
        <v>4</v>
      </c>
      <c r="H26" s="2"/>
    </row>
    <row r="27" spans="1:8" x14ac:dyDescent="0.25">
      <c r="A27" s="2"/>
      <c r="B27" s="47" t="s">
        <v>166</v>
      </c>
      <c r="C27" s="41">
        <v>2016</v>
      </c>
      <c r="D27" s="28">
        <v>5</v>
      </c>
      <c r="E27" s="27">
        <v>281076.23</v>
      </c>
      <c r="F27" s="12">
        <f t="shared" si="0"/>
        <v>56215.245999999999</v>
      </c>
      <c r="G27" s="23" t="s">
        <v>4</v>
      </c>
      <c r="H27" s="2"/>
    </row>
    <row r="28" spans="1:8" x14ac:dyDescent="0.25">
      <c r="A28" s="2"/>
      <c r="B28" s="47" t="s">
        <v>166</v>
      </c>
      <c r="C28" s="41">
        <v>2016</v>
      </c>
      <c r="D28" s="28">
        <v>5</v>
      </c>
      <c r="E28" s="27">
        <v>2832245.16</v>
      </c>
      <c r="F28" s="12">
        <f t="shared" si="0"/>
        <v>566449.03200000001</v>
      </c>
      <c r="G28" s="23" t="s">
        <v>4</v>
      </c>
      <c r="H28" s="2"/>
    </row>
    <row r="29" spans="1:8" x14ac:dyDescent="0.25">
      <c r="A29" s="2"/>
      <c r="B29" s="47" t="s">
        <v>167</v>
      </c>
      <c r="C29" s="41">
        <v>2016</v>
      </c>
      <c r="D29" s="28">
        <v>5</v>
      </c>
      <c r="E29" s="27">
        <v>591451.80000000005</v>
      </c>
      <c r="F29" s="12">
        <f t="shared" si="0"/>
        <v>118290.36000000002</v>
      </c>
      <c r="G29" s="23" t="s">
        <v>4</v>
      </c>
      <c r="H29" s="2"/>
    </row>
    <row r="30" spans="1:8" x14ac:dyDescent="0.25">
      <c r="A30" s="2"/>
      <c r="B30" s="47" t="s">
        <v>168</v>
      </c>
      <c r="C30" s="41">
        <v>2016</v>
      </c>
      <c r="D30" s="28">
        <v>5</v>
      </c>
      <c r="E30" s="27">
        <v>658020</v>
      </c>
      <c r="F30" s="12">
        <f t="shared" si="0"/>
        <v>131604</v>
      </c>
      <c r="G30" s="23" t="s">
        <v>4</v>
      </c>
      <c r="H30" s="2"/>
    </row>
    <row r="31" spans="1:8" x14ac:dyDescent="0.25">
      <c r="A31" s="2"/>
      <c r="B31" s="99" t="s">
        <v>76</v>
      </c>
      <c r="C31" s="100"/>
      <c r="D31" s="100"/>
      <c r="E31" s="101"/>
      <c r="F31" s="21">
        <f>SUM(F10:F30)</f>
        <v>1580493.2585333334</v>
      </c>
      <c r="G31" s="22" t="s">
        <v>4</v>
      </c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</sheetData>
  <sheetProtection password="DFE9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2017-10-13T15:46:35Z</dcterms:modified>
</cp:coreProperties>
</file>