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2" i="22" l="1"/>
  <c r="F11" i="22"/>
  <c r="G13" i="10" l="1"/>
  <c r="E12" i="2" l="1"/>
  <c r="G11" i="10" l="1"/>
  <c r="F18" i="20"/>
  <c r="F19" i="20" s="1"/>
  <c r="E15" i="2" s="1"/>
  <c r="G21" i="19" l="1"/>
  <c r="G22" i="19" s="1"/>
  <c r="E11" i="2" s="1"/>
  <c r="F86" i="11" l="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87" i="11"/>
  <c r="E16" i="15" l="1"/>
  <c r="G16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8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E32" i="2" l="1"/>
  <c r="G32" i="2" s="1"/>
  <c r="G12" i="8" l="1"/>
  <c r="E21" i="2" s="1"/>
  <c r="G12" i="9"/>
  <c r="E20" i="2"/>
  <c r="E18" i="2"/>
  <c r="G17" i="9" l="1"/>
  <c r="E22" i="2" s="1"/>
  <c r="E13" i="15"/>
  <c r="E23" i="2"/>
  <c r="G23" i="2" s="1"/>
  <c r="G35" i="2" s="1"/>
  <c r="E9" i="15" l="1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<sst xmlns="http://schemas.openxmlformats.org/spreadsheetml/2006/main" count="510" uniqueCount="219">
  <si>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</si>
  <si>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</si>
  <si>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</si>
  <si>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</si>
  <si>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</si>
  <si>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</si>
  <si>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</si>
  <si>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</si>
  <si>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</si>
  <si>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</si>
  <si>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</si>
  <si>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</si>
  <si>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</si>
  <si>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</si>
  <si>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</si>
  <si>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</si>
  <si>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</si>
  <si>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</si>
  <si>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</si>
  <si>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</si>
  <si>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</si>
  <si>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</si>
  <si>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</si>
  <si>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</si>
  <si>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</si>
  <si>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</si>
  <si>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</si>
  <si>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</si>
  <si>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</si>
  <si>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</si>
  <si>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</si>
  <si>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</si>
  <si>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</si>
  <si>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</si>
  <si>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</si>
  <si>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</si>
  <si>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</si>
  <si>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</si>
  <si>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</si>
  <si>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</si>
  <si>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</si>
  <si>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</si>
  <si>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</si>
  <si>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</si>
  <si>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</si>
  <si>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</si>
  <si>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</si>
  <si>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</si>
  <si>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</si>
  <si>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</si>
  <si>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</si>
  <si>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</si>
  <si>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</si>
  <si>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</si>
  <si>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</si>
  <si>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</si>
  <si>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</si>
  <si>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</si>
  <si>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</si>
  <si>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</si>
  <si>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</si>
  <si>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</si>
  <si>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</si>
  <si>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</si>
  <si>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</si>
  <si>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</si>
  <si>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</si>
  <si>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</si>
  <si>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</si>
  <si>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</si>
  <si>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</si>
  <si>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</si>
  <si>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</si>
  <si>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</si>
  <si>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</si>
  <si>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</si>
  <si>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</si>
  <si>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</si>
  <si>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</si>
  <si>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</si>
  <si>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</si>
  <si>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</si>
  <si>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</si>
  <si>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</si>
  <si>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</si>
  <si>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</si>
  <si>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</si>
  <si>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</si>
  <si>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</si>
  <si>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</si>
  <si>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</si>
  <si>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</si>
  <si>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</si>
  <si>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</si>
  <si>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</si>
  <si>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</si>
  <si>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</si>
  <si>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</si>
  <si>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</si>
  <si>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</si>
  <si>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</si>
  <si>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</si>
  <si>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</si>
  <si>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</si>
  <si>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</si>
  <si>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</si>
  <si>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</si>
  <si>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</si>
  <si>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</si>
  <si>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</si>
  <si>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</si>
  <si>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</si>
  <si>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</si>
  <si>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</si>
  <si>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</si>
  <si>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</si>
  <si>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</si>
  <si>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</si>
  <si>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</si>
  <si>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</si>
  <si>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</si>
  <si>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</si>
  <si>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</si>
  <si>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</si>
  <si>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</si>
  <si>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</si>
  <si>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</si>
  <si>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</si>
  <si>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</si>
  <si>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</si>
  <si>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</si>
  <si>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</si>
  <si>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</si>
  <si>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</si>
  <si>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</si>
  <si>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</si>
  <si>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</si>
  <si>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</si>
  <si>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</si>
  <si>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</si>
  <si>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</si>
  <si>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</si>
  <si>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</si>
  <si>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</si>
  <si>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</si>
  <si>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</si>
  <si>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Værksteder, garager</t>
  </si>
  <si>
    <t>Administrationbygninger</t>
  </si>
  <si>
    <t>Arbejdsplads</t>
  </si>
  <si>
    <t>Forklaring, Mek/EL</t>
  </si>
  <si>
    <t>Beluftningstanke, SRO</t>
  </si>
  <si>
    <t>Beluftningstanke, Mek/EL</t>
  </si>
  <si>
    <t>Køretøjer, store lastvogne (&gt; 3.500 kg.)</t>
  </si>
  <si>
    <t>Køretøjer, entreprenørmaskiner</t>
  </si>
  <si>
    <t>Slutdisponering, slam - højteknologisk (slamtørring og -forbrænding), Mek/EL</t>
  </si>
  <si>
    <t>Indløb med riste, Mek/EL</t>
  </si>
  <si>
    <t>Forsinkelsesbassiner, lukkede uden automatisk rensning og SRO Miljøklasse B (mindre end 1.000 m3)</t>
  </si>
  <si>
    <t>Slutdisponering, slam - højteknologisk (slamtørring), Mek/EL</t>
  </si>
  <si>
    <t>Efterbehandlingsanlæg (sandfilter), Mek/EL</t>
  </si>
  <si>
    <t>Slutdisponering, slam - lavteknologisk (slammineralisering), Konstruktioner</t>
  </si>
  <si>
    <t>Sand- og fedtfang, Kontruktioner</t>
  </si>
  <si>
    <t>Efterklaringstanke, Mek/El</t>
  </si>
  <si>
    <t>Sand- og fedtfang, Mek/EL</t>
  </si>
  <si>
    <t>Slutafvanding, slam - højteknologisk (centrifuger), Mek/El</t>
  </si>
  <si>
    <t>Gasdisponering, Mek/EL</t>
  </si>
  <si>
    <t>Forafvanding, slam, Konstruktion</t>
  </si>
  <si>
    <t>Forafvanding, slam, Mek/EL</t>
  </si>
  <si>
    <t>Forafvanding, slam, SRO</t>
  </si>
  <si>
    <t>Slutafvanding, slam - højteknologisk (centrifuger), Konstruktioner</t>
  </si>
  <si>
    <t>Slutafvanding, slam - højteknologisk (centrifuger), SRO</t>
  </si>
  <si>
    <t>Efterklaringstanke, SRO</t>
  </si>
  <si>
    <t>Forklaring, SRO</t>
  </si>
  <si>
    <t>Indløb med riste, SRO</t>
  </si>
  <si>
    <t>Rådnetanke, slam, SRO</t>
  </si>
  <si>
    <t>Sand- og fedtfang, SRO</t>
  </si>
  <si>
    <t>Slutdisponering, slam - højteknologisk (slamtørring og -forbrænding), SRO</t>
  </si>
  <si>
    <t>Slutdisponering, slam - højteknologisk (slamtørring), SRO</t>
  </si>
  <si>
    <t>Slutafvanding, slam - lavteknologisk (slambede), SRO</t>
  </si>
  <si>
    <t>Rådnetanke, slam, Konstruktioner</t>
  </si>
  <si>
    <t>Rådnetanke, slam, Mek/EL</t>
  </si>
  <si>
    <t>Gasdisponering - elproduktionsanlæg,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</si>
  <si>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</si>
  <si>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</si>
  <si>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</si>
  <si>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</si>
  <si>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</si>
  <si>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</si>
  <si>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</si>
  <si>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</si>
  <si>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Tillægsafgift på affald </t>
  </si>
  <si>
    <t>CO2-afgift</t>
  </si>
  <si>
    <t xml:space="preserve">Deponeringsafgift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</si>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</sst>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9" t="s">
        <v>5</v>
      </c>
      <c r="E6" s="59"/>
      <c r="F6" s="59"/>
      <c r="G6" s="59"/>
      <c r="H6" s="4"/>
      <c r="I6" s="2"/>
    </row>
    <row r="7" spans="1:9" ht="15" customHeight="1" x14ac:dyDescent="0.25">
      <c r="A7" s="2"/>
      <c r="B7" s="2"/>
      <c r="C7" s="4"/>
      <c r="D7" s="59"/>
      <c r="E7" s="59"/>
      <c r="F7" s="59"/>
      <c r="G7" s="59"/>
      <c r="H7" s="4"/>
      <c r="I7" s="2"/>
    </row>
    <row r="8" spans="1:9" ht="15.75" x14ac:dyDescent="0.25">
      <c r="A8" s="2"/>
      <c r="B8" s="2"/>
      <c r="C8" s="5"/>
      <c r="D8" s="64" t="s">
        <v>122</v>
      </c>
      <c r="E8" s="64"/>
      <c r="F8" s="64"/>
      <c r="G8" s="64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3" t="s">
        <v>6</v>
      </c>
      <c r="E11" s="63"/>
      <c r="F11" s="63"/>
      <c r="G11" s="63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4" t="s">
        <v>69</v>
      </c>
      <c r="E13" s="75"/>
      <c r="F13" s="75"/>
      <c r="G13" s="76"/>
      <c r="H13" s="2"/>
      <c r="I13" s="2"/>
    </row>
    <row r="14" spans="1:9" x14ac:dyDescent="0.25">
      <c r="A14" s="2"/>
      <c r="B14" s="2"/>
      <c r="C14" s="7" t="s">
        <v>68</v>
      </c>
      <c r="D14" s="74" t="s">
        <v>70</v>
      </c>
      <c r="E14" s="75"/>
      <c r="F14" s="75"/>
      <c r="G14" s="76"/>
      <c r="H14" s="2"/>
      <c r="I14" s="2"/>
    </row>
    <row r="15" spans="1:9" x14ac:dyDescent="0.25">
      <c r="A15" s="2"/>
      <c r="B15" s="2"/>
      <c r="C15" s="7" t="s">
        <v>8</v>
      </c>
      <c r="D15" s="65" t="s">
        <v>63</v>
      </c>
      <c r="E15" s="66"/>
      <c r="F15" s="66"/>
      <c r="G15" s="67"/>
      <c r="H15" s="2"/>
      <c r="I15" s="2"/>
    </row>
    <row r="16" spans="1:9" x14ac:dyDescent="0.25">
      <c r="A16" s="2"/>
      <c r="B16" s="2"/>
      <c r="C16" s="7" t="s">
        <v>9</v>
      </c>
      <c r="D16" s="65" t="s">
        <v>49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68" t="s">
        <v>15</v>
      </c>
      <c r="E17" s="69"/>
      <c r="F17" s="69"/>
      <c r="G17" s="70"/>
      <c r="H17" s="2"/>
      <c r="I17" s="2"/>
    </row>
    <row r="18" spans="1:9" x14ac:dyDescent="0.25">
      <c r="A18" s="2"/>
      <c r="B18" s="2"/>
      <c r="C18" s="7" t="s">
        <v>11</v>
      </c>
      <c r="D18" s="68" t="s">
        <v>16</v>
      </c>
      <c r="E18" s="69"/>
      <c r="F18" s="69"/>
      <c r="G18" s="70"/>
      <c r="H18" s="2"/>
      <c r="I18" s="2"/>
    </row>
    <row r="19" spans="1:9" x14ac:dyDescent="0.25">
      <c r="A19" s="2"/>
      <c r="B19" s="2"/>
      <c r="C19" s="7" t="s">
        <v>12</v>
      </c>
      <c r="D19" s="71" t="s">
        <v>17</v>
      </c>
      <c r="E19" s="72"/>
      <c r="F19" s="72"/>
      <c r="G19" s="73"/>
      <c r="H19" s="2"/>
      <c r="I19" s="2"/>
    </row>
    <row r="20" spans="1:9" x14ac:dyDescent="0.25">
      <c r="A20" s="2"/>
      <c r="B20" s="2"/>
      <c r="C20" s="7" t="s">
        <v>13</v>
      </c>
      <c r="D20" s="60" t="s">
        <v>75</v>
      </c>
      <c r="E20" s="61"/>
      <c r="F20" s="61"/>
      <c r="G20" s="62"/>
      <c r="H20" s="2"/>
      <c r="I20" s="2"/>
    </row>
    <row r="21" spans="1:9" x14ac:dyDescent="0.25">
      <c r="A21" s="2"/>
      <c r="B21" s="2"/>
      <c r="C21" s="7" t="s">
        <v>14</v>
      </c>
      <c r="D21" s="60" t="s">
        <v>98</v>
      </c>
      <c r="E21" s="61"/>
      <c r="F21" s="61"/>
      <c r="G21" s="62"/>
      <c r="H21" s="2"/>
      <c r="I21" s="2"/>
    </row>
    <row r="22" spans="1:9" x14ac:dyDescent="0.25">
      <c r="A22" s="2"/>
      <c r="B22" s="2"/>
      <c r="C22" s="7" t="s">
        <v>59</v>
      </c>
      <c r="D22" s="80" t="s">
        <v>142</v>
      </c>
      <c r="E22" s="81"/>
      <c r="F22" s="81"/>
      <c r="G22" s="82"/>
      <c r="H22" s="2"/>
      <c r="I22" s="2"/>
    </row>
    <row r="23" spans="1:9" x14ac:dyDescent="0.25">
      <c r="A23" s="2"/>
      <c r="B23" s="2"/>
      <c r="C23" s="7" t="s">
        <v>66</v>
      </c>
      <c r="D23" s="77" t="s">
        <v>65</v>
      </c>
      <c r="E23" s="78"/>
      <c r="F23" s="78"/>
      <c r="G23" s="79"/>
      <c r="H23" s="2"/>
      <c r="I23" s="2"/>
    </row>
    <row r="24" spans="1:9" x14ac:dyDescent="0.25">
      <c r="A24" s="2"/>
      <c r="B24" s="2"/>
      <c r="C24" s="7" t="s">
        <v>67</v>
      </c>
      <c r="D24" s="77" t="s">
        <v>64</v>
      </c>
      <c r="E24" s="78"/>
      <c r="F24" s="78"/>
      <c r="G24" s="79"/>
      <c r="H24" s="2"/>
      <c r="I24" s="2"/>
    </row>
    <row r="25" spans="1:9" x14ac:dyDescent="0.25">
      <c r="A25" s="2"/>
      <c r="B25" s="2"/>
      <c r="C25" s="7" t="s">
        <v>217</v>
      </c>
      <c r="D25" s="77" t="s">
        <v>218</v>
      </c>
      <c r="E25" s="78"/>
      <c r="F25" s="78"/>
      <c r="G25" s="79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5" t="s">
        <v>77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2" t="s">
        <v>199</v>
      </c>
      <c r="C8" s="103"/>
      <c r="D8" s="103"/>
      <c r="E8" s="103"/>
      <c r="F8" s="103"/>
      <c r="G8" s="103"/>
      <c r="H8" s="104"/>
      <c r="I8" s="2"/>
    </row>
    <row r="9" spans="1:9" x14ac:dyDescent="0.25">
      <c r="A9" s="2"/>
      <c r="B9" s="87" t="s">
        <v>78</v>
      </c>
      <c r="C9" s="88"/>
      <c r="D9" s="88"/>
      <c r="E9" s="88"/>
      <c r="F9" s="89"/>
      <c r="G9" s="27">
        <v>52858917</v>
      </c>
      <c r="H9" s="23" t="s">
        <v>4</v>
      </c>
      <c r="I9" s="2"/>
    </row>
    <row r="10" spans="1:9" x14ac:dyDescent="0.25">
      <c r="A10" s="2"/>
      <c r="B10" s="87" t="s">
        <v>79</v>
      </c>
      <c r="C10" s="88"/>
      <c r="D10" s="88"/>
      <c r="E10" s="88"/>
      <c r="F10" s="89"/>
      <c r="G10" s="27">
        <v>47918500</v>
      </c>
      <c r="H10" s="23" t="s">
        <v>4</v>
      </c>
      <c r="I10" s="2"/>
    </row>
    <row r="11" spans="1:9" x14ac:dyDescent="0.25">
      <c r="A11" s="2"/>
      <c r="B11" s="97" t="s">
        <v>200</v>
      </c>
      <c r="C11" s="98"/>
      <c r="D11" s="98"/>
      <c r="E11" s="98"/>
      <c r="F11" s="99"/>
      <c r="G11" s="21">
        <f>G9-G10</f>
        <v>4940417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2" t="s">
        <v>201</v>
      </c>
      <c r="C14" s="103"/>
      <c r="D14" s="103"/>
      <c r="E14" s="103"/>
      <c r="F14" s="103"/>
      <c r="G14" s="103"/>
      <c r="H14" s="104"/>
      <c r="I14" s="2"/>
    </row>
    <row r="15" spans="1:9" x14ac:dyDescent="0.25">
      <c r="A15" s="2"/>
      <c r="B15" s="87" t="s">
        <v>80</v>
      </c>
      <c r="C15" s="88"/>
      <c r="D15" s="88"/>
      <c r="E15" s="88"/>
      <c r="F15" s="89"/>
      <c r="G15" s="27">
        <v>7449119</v>
      </c>
      <c r="H15" s="23" t="s">
        <v>4</v>
      </c>
      <c r="I15" s="2"/>
    </row>
    <row r="16" spans="1:9" x14ac:dyDescent="0.25">
      <c r="A16" s="2"/>
      <c r="B16" s="87" t="s">
        <v>81</v>
      </c>
      <c r="C16" s="88"/>
      <c r="D16" s="88"/>
      <c r="E16" s="88"/>
      <c r="F16" s="89"/>
      <c r="G16" s="27">
        <v>7800000</v>
      </c>
      <c r="H16" s="23" t="s">
        <v>4</v>
      </c>
      <c r="I16" s="2"/>
    </row>
    <row r="17" spans="1:9" x14ac:dyDescent="0.25">
      <c r="A17" s="2"/>
      <c r="B17" s="97" t="s">
        <v>201</v>
      </c>
      <c r="C17" s="98"/>
      <c r="D17" s="98"/>
      <c r="E17" s="98"/>
      <c r="F17" s="99"/>
      <c r="G17" s="21">
        <f>G15-G16</f>
        <v>-350881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2" t="s">
        <v>202</v>
      </c>
      <c r="C20" s="103"/>
      <c r="D20" s="103"/>
      <c r="E20" s="103"/>
      <c r="F20" s="103"/>
      <c r="G20" s="103"/>
      <c r="H20" s="104"/>
      <c r="I20" s="2"/>
    </row>
    <row r="21" spans="1:9" x14ac:dyDescent="0.25">
      <c r="A21" s="2"/>
      <c r="B21" s="87" t="s">
        <v>82</v>
      </c>
      <c r="C21" s="88"/>
      <c r="D21" s="88"/>
      <c r="E21" s="88"/>
      <c r="F21" s="89"/>
      <c r="G21" s="27">
        <v>4641046</v>
      </c>
      <c r="H21" s="23" t="s">
        <v>4</v>
      </c>
      <c r="I21" s="2"/>
    </row>
    <row r="22" spans="1:9" x14ac:dyDescent="0.25">
      <c r="A22" s="2"/>
      <c r="B22" s="87" t="s">
        <v>83</v>
      </c>
      <c r="C22" s="88"/>
      <c r="D22" s="88"/>
      <c r="E22" s="88"/>
      <c r="F22" s="89"/>
      <c r="G22" s="27">
        <v>3757500</v>
      </c>
      <c r="H22" s="23" t="s">
        <v>4</v>
      </c>
      <c r="I22" s="2"/>
    </row>
    <row r="23" spans="1:9" x14ac:dyDescent="0.25">
      <c r="A23" s="2"/>
      <c r="B23" s="97" t="s">
        <v>202</v>
      </c>
      <c r="C23" s="98"/>
      <c r="D23" s="98"/>
      <c r="E23" s="98"/>
      <c r="F23" s="99"/>
      <c r="G23" s="21">
        <f>G21-G22</f>
        <v>883546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2" t="s">
        <v>203</v>
      </c>
      <c r="C26" s="103"/>
      <c r="D26" s="103"/>
      <c r="E26" s="103"/>
      <c r="F26" s="103"/>
      <c r="G26" s="103"/>
      <c r="H26" s="104"/>
      <c r="I26" s="2"/>
    </row>
    <row r="27" spans="1:9" ht="29.25" customHeight="1" x14ac:dyDescent="0.25">
      <c r="A27" s="2"/>
      <c r="B27" s="84" t="s">
        <v>84</v>
      </c>
      <c r="C27" s="85"/>
      <c r="D27" s="85"/>
      <c r="E27" s="85"/>
      <c r="F27" s="86"/>
      <c r="G27" s="27">
        <v>0</v>
      </c>
      <c r="H27" s="23" t="s">
        <v>4</v>
      </c>
      <c r="I27" s="2"/>
    </row>
    <row r="28" spans="1:9" x14ac:dyDescent="0.25">
      <c r="A28" s="2"/>
      <c r="B28" s="87" t="s">
        <v>85</v>
      </c>
      <c r="C28" s="88"/>
      <c r="D28" s="88"/>
      <c r="E28" s="88"/>
      <c r="F28" s="89"/>
      <c r="G28" s="27">
        <v>0</v>
      </c>
      <c r="H28" s="23" t="s">
        <v>4</v>
      </c>
      <c r="I28" s="2"/>
    </row>
    <row r="29" spans="1:9" ht="15" customHeight="1" x14ac:dyDescent="0.25">
      <c r="A29" s="2"/>
      <c r="B29" s="102" t="s">
        <v>203</v>
      </c>
      <c r="C29" s="103"/>
      <c r="D29" s="103"/>
      <c r="E29" s="103"/>
      <c r="F29" s="104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2" t="s">
        <v>86</v>
      </c>
      <c r="C32" s="103"/>
      <c r="D32" s="103"/>
      <c r="E32" s="103"/>
      <c r="F32" s="103"/>
      <c r="G32" s="103"/>
      <c r="H32" s="104"/>
      <c r="I32" s="2"/>
    </row>
    <row r="33" spans="1:9" x14ac:dyDescent="0.25">
      <c r="A33" s="2"/>
      <c r="B33" s="87" t="s">
        <v>87</v>
      </c>
      <c r="C33" s="88"/>
      <c r="D33" s="88"/>
      <c r="E33" s="88"/>
      <c r="F33" s="89"/>
      <c r="G33" s="12">
        <f>'Fane 8. Gen. inv. i 2016'!F88</f>
        <v>10859202.882899994</v>
      </c>
      <c r="H33" s="23" t="s">
        <v>4</v>
      </c>
      <c r="I33" s="2"/>
    </row>
    <row r="34" spans="1:9" x14ac:dyDescent="0.25">
      <c r="A34" s="2"/>
      <c r="B34" s="87" t="s">
        <v>88</v>
      </c>
      <c r="C34" s="88"/>
      <c r="D34" s="88"/>
      <c r="E34" s="88"/>
      <c r="F34" s="89"/>
      <c r="G34" s="27">
        <v>4190000</v>
      </c>
      <c r="H34" s="23" t="s">
        <v>4</v>
      </c>
      <c r="I34" s="2"/>
    </row>
    <row r="35" spans="1:9" x14ac:dyDescent="0.25">
      <c r="A35" s="2"/>
      <c r="B35" s="97" t="s">
        <v>86</v>
      </c>
      <c r="C35" s="98"/>
      <c r="D35" s="98"/>
      <c r="E35" s="98"/>
      <c r="F35" s="99"/>
      <c r="G35" s="21">
        <f>G33-G34</f>
        <v>6669202.882899994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5" t="s">
        <v>89</v>
      </c>
      <c r="C3" s="105"/>
      <c r="D3" s="105"/>
      <c r="E3" s="105"/>
      <c r="F3" s="105"/>
      <c r="G3" s="105"/>
      <c r="H3" s="105"/>
      <c r="I3" s="2"/>
    </row>
    <row r="4" spans="1:9" ht="1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90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94" t="s">
        <v>91</v>
      </c>
      <c r="C9" s="95"/>
      <c r="D9" s="95"/>
      <c r="E9" s="95"/>
      <c r="F9" s="96"/>
      <c r="G9" s="26">
        <v>331858547.63999248</v>
      </c>
      <c r="H9" s="38" t="s">
        <v>4</v>
      </c>
      <c r="I9" s="2"/>
    </row>
    <row r="10" spans="1:9" x14ac:dyDescent="0.25">
      <c r="A10" s="2"/>
      <c r="B10" s="97" t="s">
        <v>92</v>
      </c>
      <c r="C10" s="98"/>
      <c r="D10" s="98"/>
      <c r="E10" s="98"/>
      <c r="F10" s="98"/>
      <c r="G10" s="98"/>
      <c r="H10" s="99"/>
      <c r="I10" s="2"/>
    </row>
    <row r="11" spans="1:9" x14ac:dyDescent="0.25">
      <c r="A11" s="2"/>
      <c r="B11" s="87" t="s">
        <v>19</v>
      </c>
      <c r="C11" s="88"/>
      <c r="D11" s="89"/>
      <c r="E11" s="27">
        <v>71037882.57095331</v>
      </c>
      <c r="F11" s="23" t="s">
        <v>4</v>
      </c>
      <c r="G11" s="20"/>
      <c r="H11" s="42"/>
      <c r="I11" s="2"/>
    </row>
    <row r="12" spans="1:9" x14ac:dyDescent="0.25">
      <c r="A12" s="2"/>
      <c r="B12" s="87" t="s">
        <v>93</v>
      </c>
      <c r="C12" s="88"/>
      <c r="D12" s="89"/>
      <c r="E12" s="27">
        <v>43775644</v>
      </c>
      <c r="F12" s="23" t="s">
        <v>4</v>
      </c>
      <c r="G12" s="15"/>
      <c r="H12" s="43"/>
      <c r="I12" s="2"/>
    </row>
    <row r="13" spans="1:9" x14ac:dyDescent="0.25">
      <c r="A13" s="2"/>
      <c r="B13" s="87" t="s">
        <v>94</v>
      </c>
      <c r="C13" s="88"/>
      <c r="D13" s="89"/>
      <c r="E13" s="27">
        <v>-11110507</v>
      </c>
      <c r="F13" s="23" t="s">
        <v>4</v>
      </c>
      <c r="G13" s="15"/>
      <c r="H13" s="43"/>
      <c r="I13" s="2"/>
    </row>
    <row r="14" spans="1:9" x14ac:dyDescent="0.25">
      <c r="A14" s="2"/>
      <c r="B14" s="87" t="s">
        <v>95</v>
      </c>
      <c r="C14" s="88"/>
      <c r="D14" s="89"/>
      <c r="E14" s="27">
        <v>14924666.666666666</v>
      </c>
      <c r="F14" s="23" t="s">
        <v>4</v>
      </c>
      <c r="G14" s="15"/>
      <c r="H14" s="43"/>
      <c r="I14" s="2"/>
    </row>
    <row r="15" spans="1:9" x14ac:dyDescent="0.25">
      <c r="A15" s="2"/>
      <c r="B15" s="94" t="s">
        <v>20</v>
      </c>
      <c r="C15" s="95"/>
      <c r="D15" s="96"/>
      <c r="E15" s="18">
        <f>SUM(E11:E14)</f>
        <v>118627686.23761998</v>
      </c>
      <c r="F15" s="38" t="s">
        <v>4</v>
      </c>
      <c r="G15" s="15"/>
      <c r="H15" s="43"/>
      <c r="I15" s="2"/>
    </row>
    <row r="16" spans="1:9" x14ac:dyDescent="0.25">
      <c r="A16" s="2"/>
      <c r="B16" s="87" t="s">
        <v>21</v>
      </c>
      <c r="C16" s="88"/>
      <c r="D16" s="89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7" t="s">
        <v>22</v>
      </c>
      <c r="C17" s="88"/>
      <c r="D17" s="89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7" t="s">
        <v>23</v>
      </c>
      <c r="C18" s="88"/>
      <c r="D18" s="89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4" t="s">
        <v>24</v>
      </c>
      <c r="C19" s="95"/>
      <c r="D19" s="96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4" t="s">
        <v>25</v>
      </c>
      <c r="C20" s="85"/>
      <c r="D20" s="86"/>
      <c r="E20" s="27">
        <v>-8116659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4" t="s">
        <v>26</v>
      </c>
      <c r="C21" s="85"/>
      <c r="D21" s="86"/>
      <c r="E21" s="27">
        <v>-110511026</v>
      </c>
      <c r="F21" s="23" t="s">
        <v>4</v>
      </c>
      <c r="G21" s="15"/>
      <c r="H21" s="43"/>
      <c r="I21" s="2"/>
    </row>
    <row r="22" spans="1:9" x14ac:dyDescent="0.25">
      <c r="A22" s="2"/>
      <c r="B22" s="87" t="s">
        <v>27</v>
      </c>
      <c r="C22" s="88"/>
      <c r="D22" s="89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7" t="s">
        <v>28</v>
      </c>
      <c r="C23" s="88"/>
      <c r="D23" s="89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4" t="s">
        <v>29</v>
      </c>
      <c r="C24" s="85"/>
      <c r="D24" s="8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4" t="s">
        <v>30</v>
      </c>
      <c r="C25" s="85"/>
      <c r="D25" s="8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4" t="s">
        <v>31</v>
      </c>
      <c r="C26" s="85"/>
      <c r="D26" s="8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4" t="s">
        <v>32</v>
      </c>
      <c r="C27" s="95"/>
      <c r="D27" s="96"/>
      <c r="E27" s="18">
        <f>SUM(E20:E26)</f>
        <v>-118627685</v>
      </c>
      <c r="F27" s="38" t="s">
        <v>4</v>
      </c>
      <c r="G27" s="16"/>
      <c r="H27" s="44"/>
      <c r="I27" s="2"/>
    </row>
    <row r="28" spans="1:9" x14ac:dyDescent="0.25">
      <c r="A28" s="2"/>
      <c r="B28" s="94" t="s">
        <v>33</v>
      </c>
      <c r="C28" s="95"/>
      <c r="D28" s="96"/>
      <c r="E28" s="18">
        <f>E15+E19+E27</f>
        <v>1.2376199811697006</v>
      </c>
      <c r="F28" s="38" t="s">
        <v>4</v>
      </c>
      <c r="G28" s="1">
        <f>IF(E28&lt;0,0,-E28)</f>
        <v>-1.2376199811697006</v>
      </c>
      <c r="H28" s="38" t="s">
        <v>4</v>
      </c>
      <c r="I28" s="2"/>
    </row>
    <row r="29" spans="1:9" x14ac:dyDescent="0.25">
      <c r="A29" s="2"/>
      <c r="B29" s="97" t="s">
        <v>96</v>
      </c>
      <c r="C29" s="98"/>
      <c r="D29" s="98"/>
      <c r="E29" s="98"/>
      <c r="F29" s="98"/>
      <c r="G29" s="98"/>
      <c r="H29" s="99"/>
      <c r="I29" s="2"/>
    </row>
    <row r="30" spans="1:9" x14ac:dyDescent="0.25">
      <c r="A30" s="2"/>
      <c r="B30" s="94" t="s">
        <v>96</v>
      </c>
      <c r="C30" s="95"/>
      <c r="D30" s="96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8"/>
      <c r="D31" s="98"/>
      <c r="E31" s="98"/>
      <c r="F31" s="98"/>
      <c r="G31" s="98"/>
      <c r="H31" s="99"/>
      <c r="I31" s="2"/>
    </row>
    <row r="32" spans="1:9" ht="30" customHeight="1" x14ac:dyDescent="0.25">
      <c r="A32" s="2"/>
      <c r="B32" s="84" t="s">
        <v>58</v>
      </c>
      <c r="C32" s="85"/>
      <c r="D32" s="86"/>
      <c r="E32" s="27">
        <v>353173185.39999998</v>
      </c>
      <c r="F32" s="23" t="s">
        <v>4</v>
      </c>
      <c r="G32" s="20"/>
      <c r="H32" s="42"/>
      <c r="I32" s="2"/>
    </row>
    <row r="33" spans="1:9" x14ac:dyDescent="0.25">
      <c r="A33" s="2"/>
      <c r="B33" s="87" t="s">
        <v>34</v>
      </c>
      <c r="C33" s="88"/>
      <c r="D33" s="89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4" t="s">
        <v>35</v>
      </c>
      <c r="C34" s="85"/>
      <c r="D34" s="86"/>
      <c r="E34" s="27">
        <v>2297686</v>
      </c>
      <c r="F34" s="23" t="s">
        <v>4</v>
      </c>
      <c r="G34" s="16"/>
      <c r="H34" s="44"/>
      <c r="I34" s="2"/>
    </row>
    <row r="35" spans="1:9" x14ac:dyDescent="0.25">
      <c r="A35" s="2"/>
      <c r="B35" s="94" t="s">
        <v>36</v>
      </c>
      <c r="C35" s="95"/>
      <c r="D35" s="96"/>
      <c r="E35" s="18">
        <f>SUM(E32:E34)</f>
        <v>355470871.39999998</v>
      </c>
      <c r="F35" s="38" t="s">
        <v>4</v>
      </c>
      <c r="G35" s="18">
        <f>-E35</f>
        <v>-355470871.39999998</v>
      </c>
      <c r="H35" s="38" t="s">
        <v>4</v>
      </c>
      <c r="I35" s="2"/>
    </row>
    <row r="36" spans="1:9" x14ac:dyDescent="0.25">
      <c r="A36" s="2"/>
      <c r="B36" s="97" t="s">
        <v>97</v>
      </c>
      <c r="C36" s="98"/>
      <c r="D36" s="98"/>
      <c r="E36" s="98"/>
      <c r="F36" s="99"/>
      <c r="G36" s="21">
        <f>$G$9+$G$28+$G$30+$G$35</f>
        <v>-23612324.997627497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126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196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90" t="s">
        <v>116</v>
      </c>
      <c r="C9" s="92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197</v>
      </c>
      <c r="C10" s="120"/>
      <c r="D10" s="56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7" t="s">
        <v>133</v>
      </c>
      <c r="C11" s="98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7" t="s">
        <v>145</v>
      </c>
      <c r="C12" s="99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7" t="s">
        <v>192</v>
      </c>
      <c r="C15" s="98"/>
      <c r="D15" s="98"/>
      <c r="E15" s="98"/>
      <c r="F15" s="98"/>
      <c r="G15" s="99"/>
      <c r="H15" s="2"/>
    </row>
    <row r="16" spans="1:8" ht="15" customHeight="1" x14ac:dyDescent="0.25">
      <c r="A16" s="2"/>
      <c r="B16" s="90" t="s">
        <v>209</v>
      </c>
      <c r="C16" s="91"/>
      <c r="D16" s="91"/>
      <c r="E16" s="92"/>
      <c r="F16" s="117" t="s">
        <v>193</v>
      </c>
      <c r="G16" s="117"/>
      <c r="H16" s="2"/>
    </row>
    <row r="17" spans="1:8" x14ac:dyDescent="0.25">
      <c r="A17" s="2"/>
      <c r="B17" s="87" t="s">
        <v>205</v>
      </c>
      <c r="C17" s="88"/>
      <c r="D17" s="88"/>
      <c r="E17" s="89"/>
      <c r="F17" s="27">
        <v>0</v>
      </c>
      <c r="G17" s="23" t="s">
        <v>4</v>
      </c>
      <c r="H17" s="2"/>
    </row>
    <row r="18" spans="1:8" x14ac:dyDescent="0.25">
      <c r="A18" s="2"/>
      <c r="B18" s="97" t="s">
        <v>194</v>
      </c>
      <c r="C18" s="98"/>
      <c r="D18" s="98"/>
      <c r="E18" s="99"/>
      <c r="F18" s="21">
        <f>SUM(F17:F17)</f>
        <v>0</v>
      </c>
      <c r="G18" s="22" t="s">
        <v>4</v>
      </c>
      <c r="H18" s="2"/>
    </row>
    <row r="19" spans="1:8" x14ac:dyDescent="0.25">
      <c r="A19" s="2"/>
      <c r="B19" s="97" t="s">
        <v>195</v>
      </c>
      <c r="C19" s="98"/>
      <c r="D19" s="98"/>
      <c r="E19" s="99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118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117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204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7" t="s">
        <v>128</v>
      </c>
      <c r="C11" s="99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7" t="s">
        <v>144</v>
      </c>
      <c r="C12" s="99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5" t="s">
        <v>210</v>
      </c>
      <c r="C3" s="105"/>
      <c r="D3" s="105"/>
      <c r="E3" s="105"/>
      <c r="F3" s="105"/>
      <c r="G3" s="105"/>
      <c r="H3" s="2"/>
    </row>
    <row r="4" spans="1:8" ht="25.5" customHeight="1" x14ac:dyDescent="0.25">
      <c r="A4" s="2"/>
      <c r="B4" s="105"/>
      <c r="C4" s="105"/>
      <c r="D4" s="105"/>
      <c r="E4" s="105"/>
      <c r="F4" s="105"/>
      <c r="G4" s="10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211</v>
      </c>
      <c r="C8" s="98"/>
      <c r="D8" s="98"/>
      <c r="E8" s="98"/>
      <c r="F8" s="98"/>
      <c r="G8" s="99"/>
      <c r="H8" s="2"/>
    </row>
    <row r="9" spans="1:8" ht="29.25" customHeight="1" x14ac:dyDescent="0.25">
      <c r="A9" s="2"/>
      <c r="B9" s="90" t="s">
        <v>212</v>
      </c>
      <c r="C9" s="91"/>
      <c r="D9" s="91"/>
      <c r="E9" s="92"/>
      <c r="F9" s="117" t="s">
        <v>47</v>
      </c>
      <c r="G9" s="117"/>
      <c r="H9" s="2"/>
    </row>
    <row r="10" spans="1:8" x14ac:dyDescent="0.25">
      <c r="A10" s="2"/>
      <c r="B10" s="119" t="s">
        <v>216</v>
      </c>
      <c r="C10" s="121"/>
      <c r="D10" s="121"/>
      <c r="E10" s="120"/>
      <c r="F10" s="27">
        <v>19399293</v>
      </c>
      <c r="G10" s="23" t="s">
        <v>4</v>
      </c>
      <c r="H10" s="2"/>
    </row>
    <row r="11" spans="1:8" x14ac:dyDescent="0.25">
      <c r="A11" s="2"/>
      <c r="B11" s="97" t="s">
        <v>213</v>
      </c>
      <c r="C11" s="98"/>
      <c r="D11" s="98"/>
      <c r="E11" s="99"/>
      <c r="F11" s="21">
        <f>SUM(F10:F10)</f>
        <v>19399293</v>
      </c>
      <c r="G11" s="22" t="s">
        <v>4</v>
      </c>
      <c r="H11" s="2"/>
    </row>
    <row r="12" spans="1:8" x14ac:dyDescent="0.25">
      <c r="A12" s="2"/>
      <c r="B12" s="97" t="s">
        <v>214</v>
      </c>
      <c r="C12" s="98"/>
      <c r="D12" s="98"/>
      <c r="E12" s="99"/>
      <c r="F12" s="21">
        <f>F11*(1+'Fane 2.1. Økonomisk ramme 2018'!E19/100)</f>
        <v>19738780.627500001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109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56</v>
      </c>
      <c r="C8" s="98"/>
      <c r="D8" s="98"/>
      <c r="E8" s="98"/>
      <c r="F8" s="98"/>
      <c r="G8" s="98"/>
      <c r="H8" s="99"/>
      <c r="I8" s="2"/>
    </row>
    <row r="9" spans="1:9" ht="15" customHeight="1" x14ac:dyDescent="0.25">
      <c r="A9" s="2"/>
      <c r="B9" s="84" t="s">
        <v>60</v>
      </c>
      <c r="C9" s="85"/>
      <c r="D9" s="86"/>
      <c r="E9" s="8">
        <f>'Fane 3. Korrigeret grundlag'!G12</f>
        <v>367128500.81627977</v>
      </c>
      <c r="F9" s="9" t="s">
        <v>4</v>
      </c>
      <c r="G9" s="10"/>
      <c r="H9" s="11"/>
      <c r="I9" s="2"/>
    </row>
    <row r="10" spans="1:9" x14ac:dyDescent="0.25">
      <c r="A10" s="2"/>
      <c r="B10" s="93" t="s">
        <v>46</v>
      </c>
      <c r="C10" s="88"/>
      <c r="D10" s="89"/>
      <c r="E10" s="12">
        <f>'Fane 3. Korrigeret grundlag'!G11</f>
        <v>59814447.398307934</v>
      </c>
      <c r="F10" s="9" t="s">
        <v>4</v>
      </c>
      <c r="G10" s="13"/>
      <c r="H10" s="14"/>
      <c r="I10" s="2"/>
    </row>
    <row r="11" spans="1:9" x14ac:dyDescent="0.25">
      <c r="A11" s="2"/>
      <c r="B11" s="93" t="s">
        <v>121</v>
      </c>
      <c r="C11" s="88"/>
      <c r="D11" s="89"/>
      <c r="E11" s="12">
        <f>'Fane 4. Ikke-påvirkelige omk.'!G22</f>
        <v>-6677153.8867384987</v>
      </c>
      <c r="F11" s="9" t="s">
        <v>4</v>
      </c>
      <c r="G11" s="13"/>
      <c r="H11" s="14"/>
      <c r="I11" s="2"/>
    </row>
    <row r="12" spans="1:9" x14ac:dyDescent="0.25">
      <c r="A12" s="2"/>
      <c r="B12" s="49" t="s">
        <v>207</v>
      </c>
      <c r="C12" s="50"/>
      <c r="D12" s="51"/>
      <c r="E12" s="12">
        <f>'Fane 5. Individuelt eff.krav'!G10</f>
        <v>-5062889.7075778749</v>
      </c>
      <c r="F12" s="9" t="s">
        <v>4</v>
      </c>
      <c r="G12" s="13"/>
      <c r="H12" s="14"/>
      <c r="I12" s="2"/>
    </row>
    <row r="13" spans="1:9" x14ac:dyDescent="0.25">
      <c r="A13" s="2"/>
      <c r="B13" s="84" t="s">
        <v>129</v>
      </c>
      <c r="C13" s="85"/>
      <c r="D13" s="86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4" t="s">
        <v>130</v>
      </c>
      <c r="C14" s="85"/>
      <c r="D14" s="86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4" t="s">
        <v>192</v>
      </c>
      <c r="C15" s="85"/>
      <c r="D15" s="86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4" t="s">
        <v>131</v>
      </c>
      <c r="C16" s="85"/>
      <c r="D16" s="86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4" t="s">
        <v>132</v>
      </c>
      <c r="C17" s="85"/>
      <c r="D17" s="86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4" t="s">
        <v>215</v>
      </c>
      <c r="C18" s="85"/>
      <c r="D18" s="86"/>
      <c r="E18" s="12">
        <f>'Fane 13. Ny aktivitet'!F12</f>
        <v>19738780.627500001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3" t="s">
        <v>123</v>
      </c>
      <c r="C20" s="88"/>
      <c r="D20" s="89"/>
      <c r="E20" s="12">
        <f>SUM(E9,E11:E18)*(E19/100)</f>
        <v>6564726.6623656098</v>
      </c>
      <c r="F20" s="9" t="s">
        <v>4</v>
      </c>
      <c r="G20" s="13"/>
      <c r="H20" s="14"/>
      <c r="I20" s="2"/>
    </row>
    <row r="21" spans="1:9" x14ac:dyDescent="0.25">
      <c r="A21" s="2"/>
      <c r="B21" s="87" t="s">
        <v>15</v>
      </c>
      <c r="C21" s="88"/>
      <c r="D21" s="89"/>
      <c r="E21" s="12">
        <f>'Fane 5. Individuelt eff.krav'!G12</f>
        <v>1178052.9215083821</v>
      </c>
      <c r="F21" s="9" t="s">
        <v>4</v>
      </c>
      <c r="G21" s="15"/>
      <c r="H21" s="14"/>
      <c r="I21" s="2"/>
    </row>
    <row r="22" spans="1:9" x14ac:dyDescent="0.25">
      <c r="A22" s="2"/>
      <c r="B22" s="87" t="s">
        <v>16</v>
      </c>
      <c r="C22" s="88"/>
      <c r="D22" s="89"/>
      <c r="E22" s="12">
        <f>'Fane 6. Generelt eff.krav'!G17</f>
        <v>6191881.7817532588</v>
      </c>
      <c r="F22" s="9" t="s">
        <v>4</v>
      </c>
      <c r="G22" s="16"/>
      <c r="H22" s="17"/>
      <c r="I22" s="2"/>
    </row>
    <row r="23" spans="1:9" x14ac:dyDescent="0.25">
      <c r="A23" s="2"/>
      <c r="B23" s="94" t="s">
        <v>198</v>
      </c>
      <c r="C23" s="95"/>
      <c r="D23" s="96"/>
      <c r="E23" s="18">
        <f>SUM(E9,E11:E18,E20)-SUM(E21:E22)</f>
        <v>374322029.8085674</v>
      </c>
      <c r="F23" s="19" t="s">
        <v>4</v>
      </c>
      <c r="G23" s="18">
        <f>E23</f>
        <v>374322029.8085674</v>
      </c>
      <c r="H23" s="19" t="s">
        <v>4</v>
      </c>
      <c r="I23" s="2"/>
    </row>
    <row r="24" spans="1:9" x14ac:dyDescent="0.25">
      <c r="A24" s="2"/>
      <c r="B24" s="97" t="s">
        <v>17</v>
      </c>
      <c r="C24" s="98"/>
      <c r="D24" s="98"/>
      <c r="E24" s="98"/>
      <c r="F24" s="98"/>
      <c r="G24" s="98"/>
      <c r="H24" s="99"/>
      <c r="I24" s="2"/>
    </row>
    <row r="25" spans="1:9" x14ac:dyDescent="0.25">
      <c r="A25" s="2"/>
      <c r="B25" s="90" t="s">
        <v>55</v>
      </c>
      <c r="C25" s="91"/>
      <c r="D25" s="92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7" t="s">
        <v>98</v>
      </c>
      <c r="C26" s="98"/>
      <c r="D26" s="98"/>
      <c r="E26" s="98"/>
      <c r="F26" s="98"/>
      <c r="G26" s="98"/>
      <c r="H26" s="99"/>
      <c r="I26" s="2"/>
    </row>
    <row r="27" spans="1:9" x14ac:dyDescent="0.25">
      <c r="A27" s="2"/>
      <c r="B27" s="84" t="s">
        <v>105</v>
      </c>
      <c r="C27" s="85"/>
      <c r="D27" s="86"/>
      <c r="E27" s="12">
        <f>'Fane 9. Korrektion af PL2016'!G11</f>
        <v>4940417</v>
      </c>
      <c r="F27" s="9" t="s">
        <v>4</v>
      </c>
      <c r="G27" s="20"/>
      <c r="H27" s="11"/>
      <c r="I27" s="2"/>
    </row>
    <row r="28" spans="1:9" x14ac:dyDescent="0.25">
      <c r="A28" s="2"/>
      <c r="B28" s="84" t="s">
        <v>99</v>
      </c>
      <c r="C28" s="85"/>
      <c r="D28" s="86"/>
      <c r="E28" s="12">
        <f>'Fane 9. Korrektion af PL2016'!G17</f>
        <v>-350881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4" t="s">
        <v>100</v>
      </c>
      <c r="C29" s="85"/>
      <c r="D29" s="86"/>
      <c r="E29" s="12">
        <f>'Fane 9. Korrektion af PL2016'!G23</f>
        <v>883546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4" t="s">
        <v>101</v>
      </c>
      <c r="C30" s="85"/>
      <c r="D30" s="8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4" t="s">
        <v>102</v>
      </c>
      <c r="C31" s="85"/>
      <c r="D31" s="86"/>
      <c r="E31" s="12">
        <f>'Fane 9. Korrektion af PL2016'!G35</f>
        <v>6669202.882899994</v>
      </c>
      <c r="F31" s="9" t="s">
        <v>4</v>
      </c>
      <c r="G31" s="15"/>
      <c r="H31" s="14"/>
      <c r="I31" s="2"/>
    </row>
    <row r="32" spans="1:9" x14ac:dyDescent="0.25">
      <c r="A32" s="2"/>
      <c r="B32" s="90" t="s">
        <v>103</v>
      </c>
      <c r="C32" s="91"/>
      <c r="D32" s="92"/>
      <c r="E32" s="18">
        <f>SUM(E27:E31)</f>
        <v>12142284.882899994</v>
      </c>
      <c r="F32" s="19" t="s">
        <v>4</v>
      </c>
      <c r="G32" s="18">
        <f>E32</f>
        <v>12142284.882899994</v>
      </c>
      <c r="H32" s="19" t="s">
        <v>4</v>
      </c>
      <c r="I32" s="2"/>
    </row>
    <row r="33" spans="1:9" x14ac:dyDescent="0.25">
      <c r="A33" s="2"/>
      <c r="B33" s="97" t="s">
        <v>18</v>
      </c>
      <c r="C33" s="98"/>
      <c r="D33" s="98"/>
      <c r="E33" s="98"/>
      <c r="F33" s="98"/>
      <c r="G33" s="98"/>
      <c r="H33" s="99"/>
      <c r="I33" s="2"/>
    </row>
    <row r="34" spans="1:9" x14ac:dyDescent="0.25">
      <c r="A34" s="2"/>
      <c r="B34" s="90" t="s">
        <v>104</v>
      </c>
      <c r="C34" s="91"/>
      <c r="D34" s="92"/>
      <c r="E34" s="18">
        <f>'Fane 10. Kontrol af PL2016'!G36</f>
        <v>-23612324.997627497</v>
      </c>
      <c r="F34" s="19" t="s">
        <v>4</v>
      </c>
      <c r="G34" s="18">
        <f>E34</f>
        <v>-23612324.997627497</v>
      </c>
      <c r="H34" s="19" t="s">
        <v>4</v>
      </c>
      <c r="I34" s="2"/>
    </row>
    <row r="35" spans="1:9" x14ac:dyDescent="0.25">
      <c r="A35" s="2"/>
      <c r="B35" s="97" t="s">
        <v>62</v>
      </c>
      <c r="C35" s="98"/>
      <c r="D35" s="98"/>
      <c r="E35" s="98"/>
      <c r="F35" s="99"/>
      <c r="G35" s="21">
        <f>G23+G25+G32+G34</f>
        <v>362851989.69383991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108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56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4" t="s">
        <v>106</v>
      </c>
      <c r="C9" s="85"/>
      <c r="D9" s="86"/>
      <c r="E9" s="8">
        <f>'Fane 2.1. Økonomisk ramme 2018'!G23</f>
        <v>374322029.8085674</v>
      </c>
      <c r="F9" s="9" t="s">
        <v>4</v>
      </c>
      <c r="G9" s="10"/>
      <c r="H9" s="11"/>
      <c r="I9" s="2"/>
    </row>
    <row r="10" spans="1:9" x14ac:dyDescent="0.25">
      <c r="A10" s="2"/>
      <c r="B10" s="93" t="s">
        <v>46</v>
      </c>
      <c r="C10" s="100"/>
      <c r="D10" s="101"/>
      <c r="E10" s="12">
        <f>(SUM('Fane 2.1. Økonomisk ramme 2018'!E10:E11,'Fane 2.1. Økonomisk ramme 2018'!E15))*(1+'Fane 2.1. Økonomisk ramme 2018'!E19/100)</f>
        <v>54067196.148021899</v>
      </c>
      <c r="F10" s="9" t="s">
        <v>4</v>
      </c>
      <c r="G10" s="13"/>
      <c r="H10" s="14"/>
      <c r="I10" s="2"/>
    </row>
    <row r="11" spans="1:9" x14ac:dyDescent="0.25">
      <c r="A11" s="2"/>
      <c r="B11" s="87" t="s">
        <v>61</v>
      </c>
      <c r="C11" s="88"/>
      <c r="D11" s="89"/>
      <c r="E11" s="12">
        <f>$E$9*'Fane 2.1. Økonomisk ramme 2018'!E19/100</f>
        <v>6550635.5216499297</v>
      </c>
      <c r="F11" s="9" t="s">
        <v>4</v>
      </c>
      <c r="G11" s="15"/>
      <c r="H11" s="14"/>
      <c r="I11" s="2"/>
    </row>
    <row r="12" spans="1:9" x14ac:dyDescent="0.25">
      <c r="A12" s="2"/>
      <c r="B12" s="87" t="s">
        <v>15</v>
      </c>
      <c r="C12" s="88"/>
      <c r="D12" s="89"/>
      <c r="E12" s="12">
        <f>($E$9-$E$10)*(1+'Fane 2.1. Økonomisk ramme 2018'!E19/100)*'Fane 5. Individuelt eff.krav'!$G$11/100</f>
        <v>1171704.73505556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6181009.4317972176</v>
      </c>
      <c r="F13" s="9" t="s">
        <v>4</v>
      </c>
      <c r="G13" s="16"/>
      <c r="H13" s="17"/>
      <c r="I13" s="2"/>
    </row>
    <row r="14" spans="1:9" x14ac:dyDescent="0.25">
      <c r="A14" s="2"/>
      <c r="B14" s="94" t="s">
        <v>198</v>
      </c>
      <c r="C14" s="95"/>
      <c r="D14" s="96"/>
      <c r="E14" s="18">
        <f>$E$9+$E$11-$E$12-$E$13</f>
        <v>373519951.16336459</v>
      </c>
      <c r="F14" s="19" t="s">
        <v>4</v>
      </c>
      <c r="G14" s="18">
        <f>E14</f>
        <v>373519951.16336459</v>
      </c>
      <c r="H14" s="19" t="s">
        <v>4</v>
      </c>
      <c r="I14" s="2"/>
    </row>
    <row r="15" spans="1:9" x14ac:dyDescent="0.25">
      <c r="A15" s="2"/>
      <c r="B15" s="97" t="s">
        <v>17</v>
      </c>
      <c r="C15" s="98"/>
      <c r="D15" s="98"/>
      <c r="E15" s="98"/>
      <c r="F15" s="98"/>
      <c r="G15" s="98"/>
      <c r="H15" s="99"/>
      <c r="I15" s="2"/>
    </row>
    <row r="16" spans="1:9" ht="15" customHeight="1" x14ac:dyDescent="0.25">
      <c r="A16" s="2"/>
      <c r="B16" s="90" t="s">
        <v>55</v>
      </c>
      <c r="C16" s="91"/>
      <c r="D16" s="92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7" t="s">
        <v>107</v>
      </c>
      <c r="C17" s="98"/>
      <c r="D17" s="98"/>
      <c r="E17" s="98"/>
      <c r="F17" s="99"/>
      <c r="G17" s="21">
        <f>G14+G16</f>
        <v>373519951.16336459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5" t="s">
        <v>139</v>
      </c>
      <c r="C3" s="105"/>
      <c r="D3" s="105"/>
      <c r="E3" s="105"/>
      <c r="F3" s="105"/>
      <c r="G3" s="105"/>
      <c r="H3" s="105"/>
      <c r="I3" s="2"/>
    </row>
    <row r="4" spans="1:9" ht="29.25" customHeight="1" x14ac:dyDescent="0.25">
      <c r="A4" s="2"/>
      <c r="B4" s="105"/>
      <c r="C4" s="105"/>
      <c r="D4" s="105"/>
      <c r="E4" s="105"/>
      <c r="F4" s="105"/>
      <c r="G4" s="105"/>
      <c r="H4" s="10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141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110</v>
      </c>
      <c r="C9" s="88"/>
      <c r="D9" s="88"/>
      <c r="E9" s="88"/>
      <c r="F9" s="89"/>
      <c r="G9" s="27">
        <v>145165965.93238464</v>
      </c>
      <c r="H9" s="23" t="s">
        <v>4</v>
      </c>
      <c r="I9" s="2"/>
    </row>
    <row r="10" spans="1:9" x14ac:dyDescent="0.25">
      <c r="A10" s="2"/>
      <c r="B10" s="87" t="s">
        <v>111</v>
      </c>
      <c r="C10" s="88"/>
      <c r="D10" s="88"/>
      <c r="E10" s="88"/>
      <c r="F10" s="89"/>
      <c r="G10" s="27">
        <v>162148087.48558724</v>
      </c>
      <c r="H10" s="23" t="s">
        <v>4</v>
      </c>
      <c r="I10" s="2"/>
    </row>
    <row r="11" spans="1:9" x14ac:dyDescent="0.25">
      <c r="A11" s="2"/>
      <c r="B11" s="87" t="s">
        <v>138</v>
      </c>
      <c r="C11" s="88"/>
      <c r="D11" s="88"/>
      <c r="E11" s="88"/>
      <c r="F11" s="89"/>
      <c r="G11" s="27">
        <v>59814447.398307934</v>
      </c>
      <c r="H11" s="23" t="s">
        <v>4</v>
      </c>
      <c r="I11" s="2"/>
    </row>
    <row r="12" spans="1:9" ht="17.25" customHeight="1" x14ac:dyDescent="0.25">
      <c r="A12" s="2"/>
      <c r="B12" s="102" t="s">
        <v>143</v>
      </c>
      <c r="C12" s="103"/>
      <c r="D12" s="103"/>
      <c r="E12" s="103"/>
      <c r="F12" s="104"/>
      <c r="G12" s="21">
        <f>SUM(G9:G11)</f>
        <v>367128500.81627977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112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113</v>
      </c>
      <c r="C8" s="98"/>
      <c r="D8" s="98"/>
      <c r="E8" s="98"/>
      <c r="F8" s="98"/>
      <c r="G8" s="98"/>
      <c r="H8" s="99"/>
      <c r="I8" s="2"/>
    </row>
    <row r="9" spans="1:9" ht="51.75" customHeight="1" x14ac:dyDescent="0.25">
      <c r="A9" s="2"/>
      <c r="B9" s="90" t="s">
        <v>115</v>
      </c>
      <c r="C9" s="91"/>
      <c r="D9" s="92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9" t="s">
        <v>181</v>
      </c>
      <c r="C10" s="110"/>
      <c r="D10" s="110"/>
      <c r="E10" s="57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9" t="s">
        <v>182</v>
      </c>
      <c r="C11" s="110"/>
      <c r="D11" s="110"/>
      <c r="E11" s="57">
        <v>9496454.8198000006</v>
      </c>
      <c r="F11" s="23" t="s">
        <v>4</v>
      </c>
      <c r="G11" s="27">
        <v>10179183</v>
      </c>
      <c r="H11" s="23" t="s">
        <v>4</v>
      </c>
      <c r="I11" s="2"/>
    </row>
    <row r="12" spans="1:9" x14ac:dyDescent="0.25">
      <c r="A12" s="2"/>
      <c r="B12" s="109" t="s">
        <v>183</v>
      </c>
      <c r="C12" s="110"/>
      <c r="D12" s="110"/>
      <c r="E12" s="57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9" t="s">
        <v>184</v>
      </c>
      <c r="C13" s="110"/>
      <c r="D13" s="110"/>
      <c r="E13" s="57">
        <v>32399.4126</v>
      </c>
      <c r="F13" s="23" t="s">
        <v>4</v>
      </c>
      <c r="G13" s="27">
        <v>669208</v>
      </c>
      <c r="H13" s="23" t="s">
        <v>4</v>
      </c>
      <c r="I13" s="2"/>
    </row>
    <row r="14" spans="1:9" x14ac:dyDescent="0.25">
      <c r="A14" s="2"/>
      <c r="B14" s="109" t="s">
        <v>185</v>
      </c>
      <c r="C14" s="110"/>
      <c r="D14" s="110"/>
      <c r="E14" s="57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9" t="s">
        <v>186</v>
      </c>
      <c r="C15" s="110"/>
      <c r="D15" s="110"/>
      <c r="E15" s="57">
        <v>39771254.744400002</v>
      </c>
      <c r="F15" s="23" t="s">
        <v>4</v>
      </c>
      <c r="G15" s="27">
        <v>32679958</v>
      </c>
      <c r="H15" s="23" t="s">
        <v>4</v>
      </c>
      <c r="I15" s="2"/>
    </row>
    <row r="16" spans="1:9" x14ac:dyDescent="0.25">
      <c r="A16" s="2"/>
      <c r="B16" s="109" t="s">
        <v>187</v>
      </c>
      <c r="C16" s="110"/>
      <c r="D16" s="110"/>
      <c r="E16" s="57">
        <v>1825215.7235999999</v>
      </c>
      <c r="F16" s="23" t="s">
        <v>4</v>
      </c>
      <c r="G16" s="27">
        <v>1729680</v>
      </c>
      <c r="H16" s="23" t="s">
        <v>4</v>
      </c>
      <c r="I16" s="2"/>
    </row>
    <row r="17" spans="1:9" x14ac:dyDescent="0.25">
      <c r="A17" s="2"/>
      <c r="B17" s="109" t="s">
        <v>188</v>
      </c>
      <c r="C17" s="110"/>
      <c r="D17" s="110"/>
      <c r="E17" s="57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6" t="s">
        <v>189</v>
      </c>
      <c r="C18" s="107"/>
      <c r="D18" s="108"/>
      <c r="E18" s="57">
        <v>6112320.5832000002</v>
      </c>
      <c r="F18" s="23" t="s">
        <v>4</v>
      </c>
      <c r="G18" s="27">
        <v>4790923</v>
      </c>
      <c r="H18" s="23" t="s">
        <v>4</v>
      </c>
      <c r="I18" s="2"/>
    </row>
    <row r="19" spans="1:9" x14ac:dyDescent="0.25">
      <c r="A19" s="2"/>
      <c r="B19" s="106" t="s">
        <v>190</v>
      </c>
      <c r="C19" s="107"/>
      <c r="D19" s="108"/>
      <c r="E19" s="57">
        <v>493221.60859999998</v>
      </c>
      <c r="F19" s="23" t="s">
        <v>4</v>
      </c>
      <c r="G19" s="27">
        <v>1000990</v>
      </c>
      <c r="H19" s="23" t="s">
        <v>4</v>
      </c>
      <c r="I19" s="2"/>
    </row>
    <row r="20" spans="1:9" x14ac:dyDescent="0.25">
      <c r="A20" s="2"/>
      <c r="B20" s="106" t="s">
        <v>191</v>
      </c>
      <c r="C20" s="107"/>
      <c r="D20" s="108"/>
      <c r="E20" s="57">
        <v>1333463.51</v>
      </c>
      <c r="F20" s="23" t="s">
        <v>4</v>
      </c>
      <c r="G20" s="27">
        <v>1452075</v>
      </c>
      <c r="H20" s="23" t="s">
        <v>4</v>
      </c>
      <c r="I20" s="2"/>
    </row>
    <row r="21" spans="1:9" x14ac:dyDescent="0.25">
      <c r="A21" s="2"/>
      <c r="B21" s="97" t="s">
        <v>134</v>
      </c>
      <c r="C21" s="98"/>
      <c r="D21" s="98"/>
      <c r="E21" s="98"/>
      <c r="F21" s="99"/>
      <c r="G21" s="21">
        <f>SUM(G10:G20)-SUM(E10:E20)</f>
        <v>-6562313.4021999985</v>
      </c>
      <c r="H21" s="22" t="s">
        <v>4</v>
      </c>
      <c r="I21" s="2"/>
    </row>
    <row r="22" spans="1:9" x14ac:dyDescent="0.25">
      <c r="A22" s="2"/>
      <c r="B22" s="97" t="s">
        <v>135</v>
      </c>
      <c r="C22" s="98"/>
      <c r="D22" s="98"/>
      <c r="E22" s="98"/>
      <c r="F22" s="99"/>
      <c r="G22" s="21">
        <f>G21*(1+'Fane 2.1. Økonomisk ramme 2018'!E19/100)</f>
        <v>-6677153.8867384987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48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19:D19"/>
    <mergeCell ref="B20:D20"/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71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15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51</v>
      </c>
      <c r="C9" s="88"/>
      <c r="D9" s="88"/>
      <c r="E9" s="88"/>
      <c r="F9" s="89"/>
      <c r="G9" s="12">
        <f>'Fane 3. Korrigeret grundlag'!G12-'Fane 3. Korrigeret grundlag'!G11+SUM('Fane 2.1. Økonomisk ramme 2018'!E13:E14,'Fane 2.1. Økonomisk ramme 2018'!E16:E18)</f>
        <v>327052834.04547185</v>
      </c>
      <c r="H9" s="23" t="s">
        <v>4</v>
      </c>
      <c r="I9" s="2"/>
    </row>
    <row r="10" spans="1:9" x14ac:dyDescent="0.25">
      <c r="A10" s="2"/>
      <c r="B10" s="52" t="s">
        <v>207</v>
      </c>
      <c r="C10" s="50"/>
      <c r="D10" s="50"/>
      <c r="E10" s="50"/>
      <c r="F10" s="51"/>
      <c r="G10" s="12">
        <v>-5062889.7075778749</v>
      </c>
      <c r="H10" s="23" t="s">
        <v>4</v>
      </c>
      <c r="I10" s="2"/>
    </row>
    <row r="11" spans="1:9" x14ac:dyDescent="0.25">
      <c r="A11" s="2"/>
      <c r="B11" s="87" t="s">
        <v>37</v>
      </c>
      <c r="C11" s="88"/>
      <c r="D11" s="88"/>
      <c r="E11" s="88"/>
      <c r="F11" s="89"/>
      <c r="G11" s="29">
        <v>0.35957382813018174</v>
      </c>
      <c r="H11" s="23" t="s">
        <v>38</v>
      </c>
      <c r="I11" s="2"/>
    </row>
    <row r="12" spans="1:9" x14ac:dyDescent="0.25">
      <c r="A12" s="2"/>
      <c r="B12" s="97" t="s">
        <v>15</v>
      </c>
      <c r="C12" s="98"/>
      <c r="D12" s="98"/>
      <c r="E12" s="98"/>
      <c r="F12" s="99"/>
      <c r="G12" s="21">
        <f>($G$9+G10)*(1+'Fane 2.1. Økonomisk ramme 2018'!E19/100)*($G$11/100)</f>
        <v>1178052.9215083821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72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53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2018'!E16,'Fane 2.1. Økonomisk ramme 2018'!E18))</f>
        <v>164904746.55988464</v>
      </c>
      <c r="H9" s="23" t="s">
        <v>4</v>
      </c>
      <c r="I9" s="2"/>
    </row>
    <row r="10" spans="1:9" x14ac:dyDescent="0.25">
      <c r="A10" s="2"/>
      <c r="B10" s="53" t="s">
        <v>206</v>
      </c>
      <c r="C10" s="54"/>
      <c r="D10" s="54"/>
      <c r="E10" s="54"/>
      <c r="F10" s="55"/>
      <c r="G10" s="12">
        <v>-2885091.7414746922</v>
      </c>
      <c r="H10" s="23" t="s">
        <v>4</v>
      </c>
      <c r="I10" s="2"/>
    </row>
    <row r="11" spans="1:9" x14ac:dyDescent="0.25">
      <c r="A11" s="2"/>
      <c r="B11" s="87" t="s">
        <v>16</v>
      </c>
      <c r="C11" s="88"/>
      <c r="D11" s="88"/>
      <c r="E11" s="88"/>
      <c r="F11" s="89"/>
      <c r="G11" s="37">
        <f>2</f>
        <v>2</v>
      </c>
      <c r="H11" s="23" t="s">
        <v>38</v>
      </c>
      <c r="I11" s="2"/>
    </row>
    <row r="12" spans="1:9" x14ac:dyDescent="0.25">
      <c r="A12" s="2"/>
      <c r="B12" s="94" t="s">
        <v>39</v>
      </c>
      <c r="C12" s="95"/>
      <c r="D12" s="95"/>
      <c r="E12" s="95"/>
      <c r="F12" s="96"/>
      <c r="G12" s="18">
        <f>($G$9+$G$10)*(1+'Fane 2.1. Økonomisk ramme 2018'!E19/100)*$G$11/100</f>
        <v>3297099.9755546427</v>
      </c>
      <c r="H12" s="38" t="s">
        <v>4</v>
      </c>
      <c r="I12" s="2"/>
    </row>
    <row r="13" spans="1:9" x14ac:dyDescent="0.25">
      <c r="A13" s="2"/>
      <c r="B13" s="87" t="s">
        <v>48</v>
      </c>
      <c r="C13" s="88"/>
      <c r="D13" s="88"/>
      <c r="E13" s="88"/>
      <c r="F13" s="89"/>
      <c r="G13" s="12">
        <f xml:space="preserve"> 'Fane 3. Korrigeret grundlag'!G10+SUM('Fane 2.1. Økonomisk ramme 2018'!E14,'Fane 2.1. Økonomisk ramme 2018'!E17)</f>
        <v>162148087.48558724</v>
      </c>
      <c r="H13" s="23" t="s">
        <v>4</v>
      </c>
      <c r="I13" s="2"/>
    </row>
    <row r="14" spans="1:9" x14ac:dyDescent="0.25">
      <c r="A14" s="2"/>
      <c r="B14" s="52" t="s">
        <v>208</v>
      </c>
      <c r="C14" s="50"/>
      <c r="D14" s="50"/>
      <c r="E14" s="50"/>
      <c r="F14" s="51"/>
      <c r="G14" s="12">
        <v>-1413940.3598017374</v>
      </c>
      <c r="H14" s="23" t="s">
        <v>4</v>
      </c>
      <c r="I14" s="2"/>
    </row>
    <row r="15" spans="1:9" x14ac:dyDescent="0.25">
      <c r="A15" s="2"/>
      <c r="B15" s="87" t="s">
        <v>16</v>
      </c>
      <c r="C15" s="88"/>
      <c r="D15" s="88"/>
      <c r="E15" s="88"/>
      <c r="F15" s="89"/>
      <c r="G15" s="30">
        <v>1.77</v>
      </c>
      <c r="H15" s="23" t="s">
        <v>38</v>
      </c>
      <c r="I15" s="2"/>
    </row>
    <row r="16" spans="1:9" x14ac:dyDescent="0.25">
      <c r="A16" s="2"/>
      <c r="B16" s="94" t="s">
        <v>40</v>
      </c>
      <c r="C16" s="95"/>
      <c r="D16" s="95"/>
      <c r="E16" s="95"/>
      <c r="F16" s="96"/>
      <c r="G16" s="18">
        <f>($G$13+$G$14)*(1+'Fane 2.1. Økonomisk ramme 2018'!E19/100)*$G$15/100</f>
        <v>2894781.8061986156</v>
      </c>
      <c r="H16" s="38" t="s">
        <v>4</v>
      </c>
      <c r="I16" s="2"/>
    </row>
    <row r="17" spans="1:9" x14ac:dyDescent="0.25">
      <c r="A17" s="2"/>
      <c r="B17" s="97" t="s">
        <v>52</v>
      </c>
      <c r="C17" s="98"/>
      <c r="D17" s="98"/>
      <c r="E17" s="98"/>
      <c r="F17" s="99"/>
      <c r="G17" s="21">
        <f>G12+G16</f>
        <v>6191881.7817532588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7" t="s">
        <v>54</v>
      </c>
      <c r="C8" s="98"/>
      <c r="D8" s="98"/>
      <c r="E8" s="98"/>
      <c r="F8" s="98"/>
      <c r="G8" s="98"/>
      <c r="H8" s="99"/>
      <c r="I8" s="2"/>
    </row>
    <row r="9" spans="1:9" x14ac:dyDescent="0.25">
      <c r="A9" s="2"/>
      <c r="B9" s="87" t="s">
        <v>42</v>
      </c>
      <c r="C9" s="88"/>
      <c r="D9" s="88"/>
      <c r="E9" s="88"/>
      <c r="F9" s="89"/>
      <c r="G9" s="27">
        <v>35577402</v>
      </c>
      <c r="H9" s="23" t="s">
        <v>4</v>
      </c>
      <c r="I9" s="2"/>
    </row>
    <row r="10" spans="1:9" x14ac:dyDescent="0.25">
      <c r="A10" s="2"/>
      <c r="B10" s="87" t="s">
        <v>120</v>
      </c>
      <c r="C10" s="88"/>
      <c r="D10" s="88"/>
      <c r="E10" s="88"/>
      <c r="F10" s="89"/>
      <c r="G10" s="27">
        <v>35577402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8">
        <f>G9-G10</f>
        <v>0</v>
      </c>
      <c r="H11" s="39" t="s">
        <v>4</v>
      </c>
      <c r="I11" s="2"/>
    </row>
    <row r="12" spans="1:9" x14ac:dyDescent="0.25">
      <c r="A12" s="2"/>
      <c r="B12" s="87" t="s">
        <v>43</v>
      </c>
      <c r="C12" s="88"/>
      <c r="D12" s="88"/>
      <c r="E12" s="88"/>
      <c r="F12" s="89"/>
      <c r="G12" s="27">
        <v>0</v>
      </c>
      <c r="H12" s="23" t="s">
        <v>125</v>
      </c>
      <c r="I12" s="2"/>
    </row>
    <row r="13" spans="1:9" x14ac:dyDescent="0.25">
      <c r="A13" s="2"/>
      <c r="B13" s="97" t="s">
        <v>41</v>
      </c>
      <c r="C13" s="98"/>
      <c r="D13" s="98"/>
      <c r="E13" s="98"/>
      <c r="F13" s="99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74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7" t="s">
        <v>75</v>
      </c>
      <c r="C8" s="98"/>
      <c r="D8" s="98"/>
      <c r="E8" s="98"/>
      <c r="F8" s="98"/>
      <c r="G8" s="99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74352.22</v>
      </c>
      <c r="F10" s="12">
        <f>E10/D10</f>
        <v>991.36293333333333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192240.8</v>
      </c>
      <c r="F11" s="12">
        <f t="shared" ref="F11:F87" si="0">E11/D11</f>
        <v>2563.2106666666664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</v>
      </c>
      <c r="E12" s="27">
        <v>143248.16</v>
      </c>
      <c r="F12" s="12">
        <f t="shared" si="0"/>
        <v>28649.632000000001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5</v>
      </c>
      <c r="E13" s="27">
        <v>4802672.8</v>
      </c>
      <c r="F13" s="12">
        <f t="shared" si="0"/>
        <v>960534.55999999994</v>
      </c>
      <c r="G13" s="23" t="s">
        <v>4</v>
      </c>
      <c r="H13" s="2"/>
    </row>
    <row r="14" spans="1:8" x14ac:dyDescent="0.25">
      <c r="A14" s="2"/>
      <c r="B14" s="47" t="s">
        <v>149</v>
      </c>
      <c r="C14" s="41">
        <v>2016</v>
      </c>
      <c r="D14" s="28">
        <v>20</v>
      </c>
      <c r="E14" s="27">
        <v>27685.200000000001</v>
      </c>
      <c r="F14" s="12">
        <f t="shared" si="0"/>
        <v>1384.26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10</v>
      </c>
      <c r="E15" s="27">
        <v>110740.81</v>
      </c>
      <c r="F15" s="12">
        <f t="shared" si="0"/>
        <v>11074.081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20</v>
      </c>
      <c r="E16" s="27">
        <v>763524.28</v>
      </c>
      <c r="F16" s="12">
        <f t="shared" si="0"/>
        <v>38176.214</v>
      </c>
      <c r="G16" s="23" t="s">
        <v>4</v>
      </c>
      <c r="H16" s="2"/>
    </row>
    <row r="17" spans="1:8" x14ac:dyDescent="0.25">
      <c r="A17" s="2"/>
      <c r="B17" s="47" t="s">
        <v>150</v>
      </c>
      <c r="C17" s="41">
        <v>2016</v>
      </c>
      <c r="D17" s="28">
        <v>10</v>
      </c>
      <c r="E17" s="27">
        <v>3054097.12</v>
      </c>
      <c r="F17" s="12">
        <f t="shared" si="0"/>
        <v>305409.712</v>
      </c>
      <c r="G17" s="23" t="s">
        <v>4</v>
      </c>
      <c r="H17" s="2"/>
    </row>
    <row r="18" spans="1:8" x14ac:dyDescent="0.25">
      <c r="A18" s="2"/>
      <c r="B18" s="47" t="s">
        <v>148</v>
      </c>
      <c r="C18" s="41">
        <v>2016</v>
      </c>
      <c r="D18" s="28">
        <v>5</v>
      </c>
      <c r="E18" s="27">
        <v>46316.29</v>
      </c>
      <c r="F18" s="12">
        <f t="shared" si="0"/>
        <v>9263.2579999999998</v>
      </c>
      <c r="G18" s="23" t="s">
        <v>4</v>
      </c>
      <c r="H18" s="2"/>
    </row>
    <row r="19" spans="1:8" x14ac:dyDescent="0.25">
      <c r="A19" s="2"/>
      <c r="B19" s="47" t="s">
        <v>147</v>
      </c>
      <c r="C19" s="41">
        <v>2016</v>
      </c>
      <c r="D19" s="28">
        <v>75</v>
      </c>
      <c r="E19" s="27">
        <v>1040973.06</v>
      </c>
      <c r="F19" s="12">
        <f t="shared" si="0"/>
        <v>13879.640800000001</v>
      </c>
      <c r="G19" s="23" t="s">
        <v>4</v>
      </c>
      <c r="H19" s="2"/>
    </row>
    <row r="20" spans="1:8" x14ac:dyDescent="0.25">
      <c r="A20" s="2"/>
      <c r="B20" s="47" t="s">
        <v>152</v>
      </c>
      <c r="C20" s="41">
        <v>2016</v>
      </c>
      <c r="D20" s="28">
        <v>5</v>
      </c>
      <c r="E20" s="27">
        <v>287311.49</v>
      </c>
      <c r="F20" s="12">
        <f t="shared" si="0"/>
        <v>57462.297999999995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5</v>
      </c>
      <c r="E21" s="27">
        <v>104254.58</v>
      </c>
      <c r="F21" s="12">
        <f t="shared" si="0"/>
        <v>20850.916000000001</v>
      </c>
      <c r="G21" s="23" t="s">
        <v>4</v>
      </c>
      <c r="H21" s="2"/>
    </row>
    <row r="22" spans="1:8" ht="26.25" x14ac:dyDescent="0.25">
      <c r="A22" s="2"/>
      <c r="B22" s="47" t="s">
        <v>154</v>
      </c>
      <c r="C22" s="41">
        <v>2016</v>
      </c>
      <c r="D22" s="28">
        <v>20</v>
      </c>
      <c r="E22" s="27">
        <v>380922.08</v>
      </c>
      <c r="F22" s="12">
        <f t="shared" si="0"/>
        <v>19046.103999999999</v>
      </c>
      <c r="G22" s="23" t="s">
        <v>4</v>
      </c>
      <c r="H22" s="2"/>
    </row>
    <row r="23" spans="1:8" x14ac:dyDescent="0.25">
      <c r="A23" s="2"/>
      <c r="B23" s="47" t="s">
        <v>155</v>
      </c>
      <c r="C23" s="41">
        <v>2016</v>
      </c>
      <c r="D23" s="28">
        <v>20</v>
      </c>
      <c r="E23" s="27">
        <v>437603.31</v>
      </c>
      <c r="F23" s="12">
        <f t="shared" si="0"/>
        <v>21880.165499999999</v>
      </c>
      <c r="G23" s="23" t="s">
        <v>4</v>
      </c>
      <c r="H23" s="2"/>
    </row>
    <row r="24" spans="1:8" x14ac:dyDescent="0.25">
      <c r="A24" s="2"/>
      <c r="B24" s="47" t="s">
        <v>155</v>
      </c>
      <c r="C24" s="41">
        <v>2016</v>
      </c>
      <c r="D24" s="28">
        <v>20</v>
      </c>
      <c r="E24" s="27">
        <v>714875.75</v>
      </c>
      <c r="F24" s="12">
        <f t="shared" si="0"/>
        <v>35743.787499999999</v>
      </c>
      <c r="G24" s="23" t="s">
        <v>4</v>
      </c>
      <c r="H24" s="2"/>
    </row>
    <row r="25" spans="1:8" x14ac:dyDescent="0.25">
      <c r="A25" s="2"/>
      <c r="B25" s="47" t="s">
        <v>148</v>
      </c>
      <c r="C25" s="41">
        <v>2016</v>
      </c>
      <c r="D25" s="28">
        <v>5</v>
      </c>
      <c r="E25" s="27">
        <v>264631.15000000002</v>
      </c>
      <c r="F25" s="12">
        <f t="shared" si="0"/>
        <v>52926.23</v>
      </c>
      <c r="G25" s="23" t="s">
        <v>4</v>
      </c>
      <c r="H25" s="2"/>
    </row>
    <row r="26" spans="1:8" ht="39" x14ac:dyDescent="0.25">
      <c r="A26" s="2"/>
      <c r="B26" s="47" t="s">
        <v>156</v>
      </c>
      <c r="C26" s="41">
        <v>2016</v>
      </c>
      <c r="D26" s="28">
        <v>50</v>
      </c>
      <c r="E26" s="27">
        <v>213187.65</v>
      </c>
      <c r="F26" s="12">
        <f t="shared" si="0"/>
        <v>4263.7529999999997</v>
      </c>
      <c r="G26" s="23" t="s">
        <v>4</v>
      </c>
      <c r="H26" s="2"/>
    </row>
    <row r="27" spans="1:8" ht="26.25" x14ac:dyDescent="0.25">
      <c r="A27" s="2"/>
      <c r="B27" s="47" t="s">
        <v>157</v>
      </c>
      <c r="C27" s="41">
        <v>2016</v>
      </c>
      <c r="D27" s="28">
        <v>20</v>
      </c>
      <c r="E27" s="27">
        <v>232632.89</v>
      </c>
      <c r="F27" s="12">
        <f t="shared" si="0"/>
        <v>11631.6445</v>
      </c>
      <c r="G27" s="23" t="s">
        <v>4</v>
      </c>
      <c r="H27" s="2"/>
    </row>
    <row r="28" spans="1:8" x14ac:dyDescent="0.25">
      <c r="A28" s="2"/>
      <c r="B28" s="47" t="s">
        <v>158</v>
      </c>
      <c r="C28" s="41">
        <v>2016</v>
      </c>
      <c r="D28" s="28">
        <v>20</v>
      </c>
      <c r="E28" s="27">
        <v>272849.21999999997</v>
      </c>
      <c r="F28" s="12">
        <f t="shared" si="0"/>
        <v>13642.460999999999</v>
      </c>
      <c r="G28" s="23" t="s">
        <v>4</v>
      </c>
      <c r="H28" s="2"/>
    </row>
    <row r="29" spans="1:8" x14ac:dyDescent="0.25">
      <c r="A29" s="2"/>
      <c r="B29" s="47" t="s">
        <v>148</v>
      </c>
      <c r="C29" s="41">
        <v>2016</v>
      </c>
      <c r="D29" s="28">
        <v>5</v>
      </c>
      <c r="E29" s="27">
        <v>258990.26</v>
      </c>
      <c r="F29" s="12">
        <f t="shared" si="0"/>
        <v>51798.052000000003</v>
      </c>
      <c r="G29" s="23" t="s">
        <v>4</v>
      </c>
      <c r="H29" s="2"/>
    </row>
    <row r="30" spans="1:8" x14ac:dyDescent="0.25">
      <c r="A30" s="2"/>
      <c r="B30" s="47" t="s">
        <v>155</v>
      </c>
      <c r="C30" s="41">
        <v>2016</v>
      </c>
      <c r="D30" s="28">
        <v>20</v>
      </c>
      <c r="E30" s="27">
        <v>528613.73</v>
      </c>
      <c r="F30" s="12">
        <f t="shared" si="0"/>
        <v>26430.6865</v>
      </c>
      <c r="G30" s="23" t="s">
        <v>4</v>
      </c>
      <c r="H30" s="2"/>
    </row>
    <row r="31" spans="1:8" x14ac:dyDescent="0.25">
      <c r="A31" s="2"/>
      <c r="B31" s="47" t="s">
        <v>148</v>
      </c>
      <c r="C31" s="41">
        <v>2016</v>
      </c>
      <c r="D31" s="28">
        <v>5</v>
      </c>
      <c r="E31" s="27">
        <v>185464.18</v>
      </c>
      <c r="F31" s="12">
        <f t="shared" si="0"/>
        <v>37092.835999999996</v>
      </c>
      <c r="G31" s="23" t="s">
        <v>4</v>
      </c>
      <c r="H31" s="2"/>
    </row>
    <row r="32" spans="1:8" x14ac:dyDescent="0.25">
      <c r="A32" s="2"/>
      <c r="B32" s="47" t="s">
        <v>148</v>
      </c>
      <c r="C32" s="41">
        <v>2016</v>
      </c>
      <c r="D32" s="28">
        <v>5</v>
      </c>
      <c r="E32" s="27">
        <v>64698.98</v>
      </c>
      <c r="F32" s="12">
        <f t="shared" si="0"/>
        <v>12939.796</v>
      </c>
      <c r="G32" s="23" t="s">
        <v>4</v>
      </c>
      <c r="H32" s="2"/>
    </row>
    <row r="33" spans="1:8" ht="26.25" x14ac:dyDescent="0.25">
      <c r="A33" s="2"/>
      <c r="B33" s="47" t="s">
        <v>159</v>
      </c>
      <c r="C33" s="41">
        <v>2016</v>
      </c>
      <c r="D33" s="28">
        <v>60</v>
      </c>
      <c r="E33" s="27">
        <v>275496.26</v>
      </c>
      <c r="F33" s="12">
        <f t="shared" si="0"/>
        <v>4591.6043333333337</v>
      </c>
      <c r="G33" s="23" t="s">
        <v>4</v>
      </c>
      <c r="H33" s="2"/>
    </row>
    <row r="34" spans="1:8" x14ac:dyDescent="0.25">
      <c r="A34" s="2"/>
      <c r="B34" s="47" t="s">
        <v>148</v>
      </c>
      <c r="C34" s="41">
        <v>2016</v>
      </c>
      <c r="D34" s="28">
        <v>5</v>
      </c>
      <c r="E34" s="27">
        <v>58334.89</v>
      </c>
      <c r="F34" s="12">
        <f t="shared" si="0"/>
        <v>11666.977999999999</v>
      </c>
      <c r="G34" s="23" t="s">
        <v>4</v>
      </c>
      <c r="H34" s="2"/>
    </row>
    <row r="35" spans="1:8" x14ac:dyDescent="0.25">
      <c r="A35" s="2"/>
      <c r="B35" s="47" t="s">
        <v>148</v>
      </c>
      <c r="C35" s="41">
        <v>2016</v>
      </c>
      <c r="D35" s="28">
        <v>5</v>
      </c>
      <c r="E35" s="27">
        <v>123849.8</v>
      </c>
      <c r="F35" s="12">
        <f t="shared" si="0"/>
        <v>24769.96</v>
      </c>
      <c r="G35" s="23" t="s">
        <v>4</v>
      </c>
      <c r="H35" s="2"/>
    </row>
    <row r="36" spans="1:8" x14ac:dyDescent="0.25">
      <c r="A36" s="2"/>
      <c r="B36" s="47" t="s">
        <v>160</v>
      </c>
      <c r="C36" s="41">
        <v>2016</v>
      </c>
      <c r="D36" s="28">
        <v>60</v>
      </c>
      <c r="E36" s="27">
        <v>139398.46</v>
      </c>
      <c r="F36" s="12">
        <f t="shared" si="0"/>
        <v>2323.3076666666666</v>
      </c>
      <c r="G36" s="23" t="s">
        <v>4</v>
      </c>
      <c r="H36" s="2"/>
    </row>
    <row r="37" spans="1:8" x14ac:dyDescent="0.25">
      <c r="A37" s="2"/>
      <c r="B37" s="47" t="s">
        <v>148</v>
      </c>
      <c r="C37" s="41">
        <v>2016</v>
      </c>
      <c r="D37" s="28">
        <v>5</v>
      </c>
      <c r="E37" s="27">
        <v>97027.57</v>
      </c>
      <c r="F37" s="12">
        <f t="shared" si="0"/>
        <v>19405.514000000003</v>
      </c>
      <c r="G37" s="23" t="s">
        <v>4</v>
      </c>
      <c r="H37" s="2"/>
    </row>
    <row r="38" spans="1:8" x14ac:dyDescent="0.25">
      <c r="A38" s="2"/>
      <c r="B38" s="47" t="s">
        <v>155</v>
      </c>
      <c r="C38" s="41">
        <v>2016</v>
      </c>
      <c r="D38" s="28">
        <v>20</v>
      </c>
      <c r="E38" s="27">
        <v>1642980.94</v>
      </c>
      <c r="F38" s="12">
        <f t="shared" si="0"/>
        <v>82149.046999999991</v>
      </c>
      <c r="G38" s="23" t="s">
        <v>4</v>
      </c>
      <c r="H38" s="2"/>
    </row>
    <row r="39" spans="1:8" x14ac:dyDescent="0.25">
      <c r="A39" s="2"/>
      <c r="B39" s="47" t="s">
        <v>149</v>
      </c>
      <c r="C39" s="41">
        <v>2016</v>
      </c>
      <c r="D39" s="28">
        <v>20</v>
      </c>
      <c r="E39" s="27">
        <v>1422338.19</v>
      </c>
      <c r="F39" s="12">
        <f t="shared" si="0"/>
        <v>71116.909499999994</v>
      </c>
      <c r="G39" s="23" t="s">
        <v>4</v>
      </c>
      <c r="H39" s="2"/>
    </row>
    <row r="40" spans="1:8" x14ac:dyDescent="0.25">
      <c r="A40" s="2"/>
      <c r="B40" s="47" t="s">
        <v>161</v>
      </c>
      <c r="C40" s="41">
        <v>2016</v>
      </c>
      <c r="D40" s="28">
        <v>20</v>
      </c>
      <c r="E40" s="27">
        <v>2844676.39</v>
      </c>
      <c r="F40" s="12">
        <f t="shared" si="0"/>
        <v>142233.81950000001</v>
      </c>
      <c r="G40" s="23" t="s">
        <v>4</v>
      </c>
      <c r="H40" s="2"/>
    </row>
    <row r="41" spans="1:8" x14ac:dyDescent="0.25">
      <c r="A41" s="2"/>
      <c r="B41" s="47" t="s">
        <v>162</v>
      </c>
      <c r="C41" s="41">
        <v>2016</v>
      </c>
      <c r="D41" s="28">
        <v>20</v>
      </c>
      <c r="E41" s="27">
        <v>291056.31</v>
      </c>
      <c r="F41" s="12">
        <f t="shared" si="0"/>
        <v>14552.815500000001</v>
      </c>
      <c r="G41" s="23" t="s">
        <v>4</v>
      </c>
      <c r="H41" s="2"/>
    </row>
    <row r="42" spans="1:8" ht="26.25" x14ac:dyDescent="0.25">
      <c r="A42" s="2"/>
      <c r="B42" s="47" t="s">
        <v>154</v>
      </c>
      <c r="C42" s="41">
        <v>2016</v>
      </c>
      <c r="D42" s="28">
        <v>20</v>
      </c>
      <c r="E42" s="27">
        <v>460684.51</v>
      </c>
      <c r="F42" s="12">
        <f t="shared" si="0"/>
        <v>23034.2255</v>
      </c>
      <c r="G42" s="23" t="s">
        <v>4</v>
      </c>
      <c r="H42" s="2"/>
    </row>
    <row r="43" spans="1:8" ht="26.25" x14ac:dyDescent="0.25">
      <c r="A43" s="2"/>
      <c r="B43" s="47" t="s">
        <v>163</v>
      </c>
      <c r="C43" s="41">
        <v>2016</v>
      </c>
      <c r="D43" s="28">
        <v>20</v>
      </c>
      <c r="E43" s="27">
        <v>128734.08</v>
      </c>
      <c r="F43" s="12">
        <f t="shared" si="0"/>
        <v>6436.7039999999997</v>
      </c>
      <c r="G43" s="23" t="s">
        <v>4</v>
      </c>
      <c r="H43" s="2"/>
    </row>
    <row r="44" spans="1:8" x14ac:dyDescent="0.25">
      <c r="A44" s="2"/>
      <c r="B44" s="47" t="s">
        <v>148</v>
      </c>
      <c r="C44" s="41">
        <v>2016</v>
      </c>
      <c r="D44" s="28">
        <v>5</v>
      </c>
      <c r="E44" s="27">
        <v>41742.86</v>
      </c>
      <c r="F44" s="12">
        <f t="shared" si="0"/>
        <v>8348.5720000000001</v>
      </c>
      <c r="G44" s="23" t="s">
        <v>4</v>
      </c>
      <c r="H44" s="2"/>
    </row>
    <row r="45" spans="1:8" x14ac:dyDescent="0.25">
      <c r="A45" s="2"/>
      <c r="B45" s="47" t="s">
        <v>164</v>
      </c>
      <c r="C45" s="41">
        <v>2016</v>
      </c>
      <c r="D45" s="28">
        <v>20</v>
      </c>
      <c r="E45" s="27">
        <v>370671.15</v>
      </c>
      <c r="F45" s="12">
        <f t="shared" si="0"/>
        <v>18533.557500000003</v>
      </c>
      <c r="G45" s="23" t="s">
        <v>4</v>
      </c>
      <c r="H45" s="2"/>
    </row>
    <row r="46" spans="1:8" x14ac:dyDescent="0.25">
      <c r="A46" s="2"/>
      <c r="B46" s="47" t="s">
        <v>155</v>
      </c>
      <c r="C46" s="41">
        <v>2016</v>
      </c>
      <c r="D46" s="28">
        <v>20</v>
      </c>
      <c r="E46" s="27">
        <v>2334409.71</v>
      </c>
      <c r="F46" s="12">
        <f t="shared" si="0"/>
        <v>116720.4855</v>
      </c>
      <c r="G46" s="23" t="s">
        <v>4</v>
      </c>
      <c r="H46" s="2"/>
    </row>
    <row r="47" spans="1:8" x14ac:dyDescent="0.25">
      <c r="A47" s="2"/>
      <c r="B47" s="47" t="s">
        <v>161</v>
      </c>
      <c r="C47" s="41">
        <v>2016</v>
      </c>
      <c r="D47" s="28">
        <v>20</v>
      </c>
      <c r="E47" s="27">
        <v>2276949.31</v>
      </c>
      <c r="F47" s="12">
        <f t="shared" si="0"/>
        <v>113847.46550000001</v>
      </c>
      <c r="G47" s="23" t="s">
        <v>4</v>
      </c>
      <c r="H47" s="2"/>
    </row>
    <row r="48" spans="1:8" x14ac:dyDescent="0.25">
      <c r="A48" s="2"/>
      <c r="B48" s="47" t="s">
        <v>165</v>
      </c>
      <c r="C48" s="41">
        <v>2016</v>
      </c>
      <c r="D48" s="28">
        <v>60</v>
      </c>
      <c r="E48" s="27">
        <v>2380412</v>
      </c>
      <c r="F48" s="12">
        <f t="shared" si="0"/>
        <v>39673.533333333333</v>
      </c>
      <c r="G48" s="23" t="s">
        <v>4</v>
      </c>
      <c r="H48" s="2"/>
    </row>
    <row r="49" spans="1:8" x14ac:dyDescent="0.25">
      <c r="A49" s="2"/>
      <c r="B49" s="47" t="s">
        <v>166</v>
      </c>
      <c r="C49" s="41">
        <v>2016</v>
      </c>
      <c r="D49" s="28">
        <v>20</v>
      </c>
      <c r="E49" s="27">
        <v>12695531</v>
      </c>
      <c r="F49" s="12">
        <f t="shared" si="0"/>
        <v>634776.55000000005</v>
      </c>
      <c r="G49" s="23" t="s">
        <v>4</v>
      </c>
      <c r="H49" s="2"/>
    </row>
    <row r="50" spans="1:8" x14ac:dyDescent="0.25">
      <c r="A50" s="2"/>
      <c r="B50" s="47" t="s">
        <v>167</v>
      </c>
      <c r="C50" s="41">
        <v>2016</v>
      </c>
      <c r="D50" s="28">
        <v>10</v>
      </c>
      <c r="E50" s="27">
        <v>793471</v>
      </c>
      <c r="F50" s="12">
        <f t="shared" si="0"/>
        <v>79347.100000000006</v>
      </c>
      <c r="G50" s="23" t="s">
        <v>4</v>
      </c>
      <c r="H50" s="2"/>
    </row>
    <row r="51" spans="1:8" ht="26.25" x14ac:dyDescent="0.25">
      <c r="A51" s="2"/>
      <c r="B51" s="47" t="s">
        <v>168</v>
      </c>
      <c r="C51" s="41">
        <v>2016</v>
      </c>
      <c r="D51" s="28">
        <v>60</v>
      </c>
      <c r="E51" s="27">
        <v>7141236</v>
      </c>
      <c r="F51" s="12">
        <f t="shared" si="0"/>
        <v>119020.6</v>
      </c>
      <c r="G51" s="23" t="s">
        <v>4</v>
      </c>
      <c r="H51" s="2"/>
    </row>
    <row r="52" spans="1:8" ht="26.25" x14ac:dyDescent="0.25">
      <c r="A52" s="2"/>
      <c r="B52" s="47" t="s">
        <v>163</v>
      </c>
      <c r="C52" s="41">
        <v>2016</v>
      </c>
      <c r="D52" s="28">
        <v>20</v>
      </c>
      <c r="E52" s="27">
        <v>38086593</v>
      </c>
      <c r="F52" s="12">
        <f t="shared" si="0"/>
        <v>1904329.65</v>
      </c>
      <c r="G52" s="23" t="s">
        <v>4</v>
      </c>
      <c r="H52" s="2"/>
    </row>
    <row r="53" spans="1:8" ht="26.25" x14ac:dyDescent="0.25">
      <c r="A53" s="2"/>
      <c r="B53" s="47" t="s">
        <v>169</v>
      </c>
      <c r="C53" s="41">
        <v>2016</v>
      </c>
      <c r="D53" s="28">
        <v>10</v>
      </c>
      <c r="E53" s="27">
        <v>2380412</v>
      </c>
      <c r="F53" s="12">
        <f t="shared" si="0"/>
        <v>238041.2</v>
      </c>
      <c r="G53" s="23" t="s">
        <v>4</v>
      </c>
      <c r="H53" s="2"/>
    </row>
    <row r="54" spans="1:8" x14ac:dyDescent="0.25">
      <c r="A54" s="2"/>
      <c r="B54" s="47" t="s">
        <v>155</v>
      </c>
      <c r="C54" s="41">
        <v>2016</v>
      </c>
      <c r="D54" s="28">
        <v>20</v>
      </c>
      <c r="E54" s="27">
        <v>1186007</v>
      </c>
      <c r="F54" s="12">
        <f t="shared" si="0"/>
        <v>59300.35</v>
      </c>
      <c r="G54" s="23" t="s">
        <v>4</v>
      </c>
      <c r="H54" s="2"/>
    </row>
    <row r="55" spans="1:8" x14ac:dyDescent="0.25">
      <c r="A55" s="2"/>
      <c r="B55" s="47" t="s">
        <v>150</v>
      </c>
      <c r="C55" s="41">
        <v>2016</v>
      </c>
      <c r="D55" s="28">
        <v>10</v>
      </c>
      <c r="E55" s="27">
        <v>5454783.4900000002</v>
      </c>
      <c r="F55" s="12">
        <f t="shared" si="0"/>
        <v>545478.34900000005</v>
      </c>
      <c r="G55" s="23" t="s">
        <v>4</v>
      </c>
      <c r="H55" s="2"/>
    </row>
    <row r="56" spans="1:8" x14ac:dyDescent="0.25">
      <c r="A56" s="2"/>
      <c r="B56" s="47" t="s">
        <v>170</v>
      </c>
      <c r="C56" s="41">
        <v>2016</v>
      </c>
      <c r="D56" s="28">
        <v>10</v>
      </c>
      <c r="E56" s="27">
        <v>2144439.5</v>
      </c>
      <c r="F56" s="12">
        <f t="shared" si="0"/>
        <v>214443.95</v>
      </c>
      <c r="G56" s="23" t="s">
        <v>4</v>
      </c>
      <c r="H56" s="2"/>
    </row>
    <row r="57" spans="1:8" x14ac:dyDescent="0.25">
      <c r="A57" s="2"/>
      <c r="B57" s="47" t="s">
        <v>167</v>
      </c>
      <c r="C57" s="41">
        <v>2016</v>
      </c>
      <c r="D57" s="28">
        <v>10</v>
      </c>
      <c r="E57" s="27">
        <v>1081193.6100000001</v>
      </c>
      <c r="F57" s="12">
        <f t="shared" si="0"/>
        <v>108119.361</v>
      </c>
      <c r="G57" s="23" t="s">
        <v>4</v>
      </c>
      <c r="H57" s="2"/>
    </row>
    <row r="58" spans="1:8" x14ac:dyDescent="0.25">
      <c r="A58" s="2"/>
      <c r="B58" s="47" t="s">
        <v>171</v>
      </c>
      <c r="C58" s="41">
        <v>2016</v>
      </c>
      <c r="D58" s="28">
        <v>10</v>
      </c>
      <c r="E58" s="27">
        <v>3567986.05</v>
      </c>
      <c r="F58" s="12">
        <f t="shared" si="0"/>
        <v>356798.60499999998</v>
      </c>
      <c r="G58" s="23" t="s">
        <v>4</v>
      </c>
      <c r="H58" s="2"/>
    </row>
    <row r="59" spans="1:8" x14ac:dyDescent="0.25">
      <c r="A59" s="2"/>
      <c r="B59" s="47" t="s">
        <v>172</v>
      </c>
      <c r="C59" s="41">
        <v>2016</v>
      </c>
      <c r="D59" s="28">
        <v>10</v>
      </c>
      <c r="E59" s="27">
        <v>4591406.8899999997</v>
      </c>
      <c r="F59" s="12">
        <f t="shared" si="0"/>
        <v>459140.68899999995</v>
      </c>
      <c r="G59" s="23" t="s">
        <v>4</v>
      </c>
      <c r="H59" s="2"/>
    </row>
    <row r="60" spans="1:8" x14ac:dyDescent="0.25">
      <c r="A60" s="2"/>
      <c r="B60" s="47" t="s">
        <v>173</v>
      </c>
      <c r="C60" s="41">
        <v>2016</v>
      </c>
      <c r="D60" s="28">
        <v>10</v>
      </c>
      <c r="E60" s="27">
        <v>933128.59</v>
      </c>
      <c r="F60" s="12">
        <f t="shared" si="0"/>
        <v>93312.858999999997</v>
      </c>
      <c r="G60" s="23" t="s">
        <v>4</v>
      </c>
      <c r="H60" s="2"/>
    </row>
    <row r="61" spans="1:8" x14ac:dyDescent="0.25">
      <c r="A61" s="2"/>
      <c r="B61" s="47" t="s">
        <v>174</v>
      </c>
      <c r="C61" s="41">
        <v>2016</v>
      </c>
      <c r="D61" s="28">
        <v>10</v>
      </c>
      <c r="E61" s="27">
        <v>763184.1</v>
      </c>
      <c r="F61" s="12">
        <f t="shared" si="0"/>
        <v>76318.41</v>
      </c>
      <c r="G61" s="23" t="s">
        <v>4</v>
      </c>
      <c r="H61" s="2"/>
    </row>
    <row r="62" spans="1:8" ht="26.25" x14ac:dyDescent="0.25">
      <c r="A62" s="2"/>
      <c r="B62" s="47" t="s">
        <v>169</v>
      </c>
      <c r="C62" s="41">
        <v>2016</v>
      </c>
      <c r="D62" s="28">
        <v>10</v>
      </c>
      <c r="E62" s="27">
        <v>589940.81000000006</v>
      </c>
      <c r="F62" s="12">
        <f t="shared" si="0"/>
        <v>58994.081000000006</v>
      </c>
      <c r="G62" s="23" t="s">
        <v>4</v>
      </c>
      <c r="H62" s="2"/>
    </row>
    <row r="63" spans="1:8" ht="26.25" x14ac:dyDescent="0.25">
      <c r="A63" s="2"/>
      <c r="B63" s="47" t="s">
        <v>175</v>
      </c>
      <c r="C63" s="41">
        <v>2016</v>
      </c>
      <c r="D63" s="28">
        <v>10</v>
      </c>
      <c r="E63" s="27">
        <v>1470865.97</v>
      </c>
      <c r="F63" s="12">
        <f t="shared" si="0"/>
        <v>147086.59700000001</v>
      </c>
      <c r="G63" s="23" t="s">
        <v>4</v>
      </c>
      <c r="H63" s="2"/>
    </row>
    <row r="64" spans="1:8" ht="26.25" x14ac:dyDescent="0.25">
      <c r="A64" s="2"/>
      <c r="B64" s="47" t="s">
        <v>176</v>
      </c>
      <c r="C64" s="41">
        <v>2016</v>
      </c>
      <c r="D64" s="28">
        <v>10</v>
      </c>
      <c r="E64" s="27">
        <v>517003.04</v>
      </c>
      <c r="F64" s="12">
        <f t="shared" si="0"/>
        <v>51700.303999999996</v>
      </c>
      <c r="G64" s="23" t="s">
        <v>4</v>
      </c>
      <c r="H64" s="2"/>
    </row>
    <row r="65" spans="1:8" x14ac:dyDescent="0.25">
      <c r="A65" s="2"/>
      <c r="B65" s="47" t="s">
        <v>172</v>
      </c>
      <c r="C65" s="41">
        <v>2016</v>
      </c>
      <c r="D65" s="28">
        <v>10</v>
      </c>
      <c r="E65" s="27">
        <v>1537763.05</v>
      </c>
      <c r="F65" s="12">
        <f t="shared" si="0"/>
        <v>153776.30499999999</v>
      </c>
      <c r="G65" s="23" t="s">
        <v>4</v>
      </c>
      <c r="H65" s="2"/>
    </row>
    <row r="66" spans="1:8" x14ac:dyDescent="0.25">
      <c r="A66" s="2"/>
      <c r="B66" s="47" t="s">
        <v>174</v>
      </c>
      <c r="C66" s="41">
        <v>2016</v>
      </c>
      <c r="D66" s="28">
        <v>10</v>
      </c>
      <c r="E66" s="27">
        <v>1537763.05</v>
      </c>
      <c r="F66" s="12">
        <f t="shared" si="0"/>
        <v>153776.30499999999</v>
      </c>
      <c r="G66" s="23" t="s">
        <v>4</v>
      </c>
      <c r="H66" s="2"/>
    </row>
    <row r="67" spans="1:8" x14ac:dyDescent="0.25">
      <c r="A67" s="2"/>
      <c r="B67" s="47" t="s">
        <v>171</v>
      </c>
      <c r="C67" s="41">
        <v>2016</v>
      </c>
      <c r="D67" s="28">
        <v>10</v>
      </c>
      <c r="E67" s="27">
        <v>1537763.05</v>
      </c>
      <c r="F67" s="12">
        <f t="shared" si="0"/>
        <v>153776.30499999999</v>
      </c>
      <c r="G67" s="23" t="s">
        <v>4</v>
      </c>
      <c r="H67" s="2"/>
    </row>
    <row r="68" spans="1:8" x14ac:dyDescent="0.25">
      <c r="A68" s="2"/>
      <c r="B68" s="47" t="s">
        <v>150</v>
      </c>
      <c r="C68" s="41">
        <v>2016</v>
      </c>
      <c r="D68" s="28">
        <v>10</v>
      </c>
      <c r="E68" s="27">
        <v>1537763.05</v>
      </c>
      <c r="F68" s="12">
        <f t="shared" si="0"/>
        <v>153776.30499999999</v>
      </c>
      <c r="G68" s="23" t="s">
        <v>4</v>
      </c>
      <c r="H68" s="2"/>
    </row>
    <row r="69" spans="1:8" x14ac:dyDescent="0.25">
      <c r="A69" s="2"/>
      <c r="B69" s="47" t="s">
        <v>170</v>
      </c>
      <c r="C69" s="41">
        <v>2016</v>
      </c>
      <c r="D69" s="28">
        <v>10</v>
      </c>
      <c r="E69" s="27">
        <v>1537763.05</v>
      </c>
      <c r="F69" s="12">
        <f t="shared" si="0"/>
        <v>153776.30499999999</v>
      </c>
      <c r="G69" s="23" t="s">
        <v>4</v>
      </c>
      <c r="H69" s="2"/>
    </row>
    <row r="70" spans="1:8" x14ac:dyDescent="0.25">
      <c r="A70" s="2"/>
      <c r="B70" s="47" t="s">
        <v>167</v>
      </c>
      <c r="C70" s="41">
        <v>2016</v>
      </c>
      <c r="D70" s="28">
        <v>10</v>
      </c>
      <c r="E70" s="27">
        <v>1537763.05</v>
      </c>
      <c r="F70" s="12">
        <f t="shared" si="0"/>
        <v>153776.30499999999</v>
      </c>
      <c r="G70" s="23" t="s">
        <v>4</v>
      </c>
      <c r="H70" s="2"/>
    </row>
    <row r="71" spans="1:8" x14ac:dyDescent="0.25">
      <c r="A71" s="2"/>
      <c r="B71" s="47" t="s">
        <v>173</v>
      </c>
      <c r="C71" s="41">
        <v>2016</v>
      </c>
      <c r="D71" s="28">
        <v>10</v>
      </c>
      <c r="E71" s="27">
        <v>1537763.05</v>
      </c>
      <c r="F71" s="12">
        <f t="shared" si="0"/>
        <v>153776.30499999999</v>
      </c>
      <c r="G71" s="23" t="s">
        <v>4</v>
      </c>
      <c r="H71" s="2"/>
    </row>
    <row r="72" spans="1:8" ht="26.25" x14ac:dyDescent="0.25">
      <c r="A72" s="2"/>
      <c r="B72" s="47" t="s">
        <v>177</v>
      </c>
      <c r="C72" s="41">
        <v>2016</v>
      </c>
      <c r="D72" s="28">
        <v>10</v>
      </c>
      <c r="E72" s="27">
        <v>1537763.05</v>
      </c>
      <c r="F72" s="12">
        <f t="shared" si="0"/>
        <v>153776.30499999999</v>
      </c>
      <c r="G72" s="23" t="s">
        <v>4</v>
      </c>
      <c r="H72" s="2"/>
    </row>
    <row r="73" spans="1:8" ht="26.25" x14ac:dyDescent="0.25">
      <c r="A73" s="2"/>
      <c r="B73" s="47" t="s">
        <v>169</v>
      </c>
      <c r="C73" s="41">
        <v>2016</v>
      </c>
      <c r="D73" s="28">
        <v>10</v>
      </c>
      <c r="E73" s="27">
        <v>1537763.05</v>
      </c>
      <c r="F73" s="12">
        <f t="shared" si="0"/>
        <v>153776.30499999999</v>
      </c>
      <c r="G73" s="23" t="s">
        <v>4</v>
      </c>
      <c r="H73" s="2"/>
    </row>
    <row r="74" spans="1:8" ht="26.25" x14ac:dyDescent="0.25">
      <c r="A74" s="2"/>
      <c r="B74" s="47" t="s">
        <v>175</v>
      </c>
      <c r="C74" s="41">
        <v>2016</v>
      </c>
      <c r="D74" s="28">
        <v>10</v>
      </c>
      <c r="E74" s="27">
        <v>1537763.05</v>
      </c>
      <c r="F74" s="12">
        <f t="shared" si="0"/>
        <v>153776.30499999999</v>
      </c>
      <c r="G74" s="23" t="s">
        <v>4</v>
      </c>
      <c r="H74" s="2"/>
    </row>
    <row r="75" spans="1:8" x14ac:dyDescent="0.25">
      <c r="A75" s="2"/>
      <c r="B75" s="47" t="s">
        <v>160</v>
      </c>
      <c r="C75" s="41">
        <v>2016</v>
      </c>
      <c r="D75" s="28">
        <v>60</v>
      </c>
      <c r="E75" s="27">
        <v>5383608.5499999998</v>
      </c>
      <c r="F75" s="12">
        <f t="shared" si="0"/>
        <v>89726.809166666659</v>
      </c>
      <c r="G75" s="23" t="s">
        <v>4</v>
      </c>
      <c r="H75" s="2"/>
    </row>
    <row r="76" spans="1:8" x14ac:dyDescent="0.25">
      <c r="A76" s="2"/>
      <c r="B76" s="47" t="s">
        <v>162</v>
      </c>
      <c r="C76" s="41">
        <v>2016</v>
      </c>
      <c r="D76" s="28">
        <v>20</v>
      </c>
      <c r="E76" s="27">
        <v>5165333.2300000004</v>
      </c>
      <c r="F76" s="12">
        <f t="shared" si="0"/>
        <v>258266.66150000002</v>
      </c>
      <c r="G76" s="23" t="s">
        <v>4</v>
      </c>
      <c r="H76" s="2"/>
    </row>
    <row r="77" spans="1:8" x14ac:dyDescent="0.25">
      <c r="A77" s="2"/>
      <c r="B77" s="47" t="s">
        <v>174</v>
      </c>
      <c r="C77" s="41">
        <v>2016</v>
      </c>
      <c r="D77" s="28">
        <v>10</v>
      </c>
      <c r="E77" s="27">
        <v>627174.73</v>
      </c>
      <c r="F77" s="12">
        <f t="shared" si="0"/>
        <v>62717.472999999998</v>
      </c>
      <c r="G77" s="23" t="s">
        <v>4</v>
      </c>
      <c r="H77" s="2"/>
    </row>
    <row r="78" spans="1:8" x14ac:dyDescent="0.25">
      <c r="A78" s="2"/>
      <c r="B78" s="47" t="s">
        <v>178</v>
      </c>
      <c r="C78" s="41">
        <v>2016</v>
      </c>
      <c r="D78" s="28">
        <v>60</v>
      </c>
      <c r="E78" s="27">
        <v>6232315.46</v>
      </c>
      <c r="F78" s="12">
        <f t="shared" si="0"/>
        <v>103871.92433333333</v>
      </c>
      <c r="G78" s="23" t="s">
        <v>4</v>
      </c>
      <c r="H78" s="2"/>
    </row>
    <row r="79" spans="1:8" x14ac:dyDescent="0.25">
      <c r="A79" s="2"/>
      <c r="B79" s="47" t="s">
        <v>179</v>
      </c>
      <c r="C79" s="41">
        <v>2016</v>
      </c>
      <c r="D79" s="28">
        <v>20</v>
      </c>
      <c r="E79" s="27">
        <v>4086850.72</v>
      </c>
      <c r="F79" s="12">
        <f t="shared" si="0"/>
        <v>204342.53600000002</v>
      </c>
      <c r="G79" s="23" t="s">
        <v>4</v>
      </c>
      <c r="H79" s="2"/>
    </row>
    <row r="80" spans="1:8" x14ac:dyDescent="0.25">
      <c r="A80" s="2"/>
      <c r="B80" s="47" t="s">
        <v>173</v>
      </c>
      <c r="C80" s="41">
        <v>2016</v>
      </c>
      <c r="D80" s="28">
        <v>10</v>
      </c>
      <c r="E80" s="27">
        <v>735594.41</v>
      </c>
      <c r="F80" s="12">
        <f t="shared" si="0"/>
        <v>73559.441000000006</v>
      </c>
      <c r="G80" s="23" t="s">
        <v>4</v>
      </c>
      <c r="H80" s="2"/>
    </row>
    <row r="81" spans="1:8" x14ac:dyDescent="0.25">
      <c r="A81" s="2"/>
      <c r="B81" s="47" t="s">
        <v>153</v>
      </c>
      <c r="C81" s="41">
        <v>2016</v>
      </c>
      <c r="D81" s="28">
        <v>5</v>
      </c>
      <c r="E81" s="27">
        <v>45363.86</v>
      </c>
      <c r="F81" s="12">
        <f t="shared" si="0"/>
        <v>9072.7720000000008</v>
      </c>
      <c r="G81" s="23" t="s">
        <v>4</v>
      </c>
      <c r="H81" s="2"/>
    </row>
    <row r="82" spans="1:8" x14ac:dyDescent="0.25">
      <c r="A82" s="2"/>
      <c r="B82" s="47" t="s">
        <v>148</v>
      </c>
      <c r="C82" s="41">
        <v>2016</v>
      </c>
      <c r="D82" s="28">
        <v>5</v>
      </c>
      <c r="E82" s="27">
        <v>387540.57</v>
      </c>
      <c r="F82" s="12">
        <f t="shared" si="0"/>
        <v>77508.114000000001</v>
      </c>
      <c r="G82" s="23" t="s">
        <v>4</v>
      </c>
      <c r="H82" s="2"/>
    </row>
    <row r="83" spans="1:8" x14ac:dyDescent="0.25">
      <c r="A83" s="2"/>
      <c r="B83" s="47" t="s">
        <v>155</v>
      </c>
      <c r="C83" s="41">
        <v>2016</v>
      </c>
      <c r="D83" s="28">
        <v>20</v>
      </c>
      <c r="E83" s="27">
        <v>22453.84</v>
      </c>
      <c r="F83" s="12">
        <f t="shared" si="0"/>
        <v>1122.692</v>
      </c>
      <c r="G83" s="23" t="s">
        <v>4</v>
      </c>
      <c r="H83" s="2"/>
    </row>
    <row r="84" spans="1:8" x14ac:dyDescent="0.25">
      <c r="A84" s="2"/>
      <c r="B84" s="47" t="s">
        <v>160</v>
      </c>
      <c r="C84" s="41">
        <v>2016</v>
      </c>
      <c r="D84" s="28">
        <v>60</v>
      </c>
      <c r="E84" s="27">
        <v>314664.26</v>
      </c>
      <c r="F84" s="12">
        <f t="shared" si="0"/>
        <v>5244.4043333333339</v>
      </c>
      <c r="G84" s="23" t="s">
        <v>4</v>
      </c>
      <c r="H84" s="2"/>
    </row>
    <row r="85" spans="1:8" x14ac:dyDescent="0.25">
      <c r="A85" s="2"/>
      <c r="B85" s="47" t="s">
        <v>155</v>
      </c>
      <c r="C85" s="41">
        <v>2016</v>
      </c>
      <c r="D85" s="28">
        <v>20</v>
      </c>
      <c r="E85" s="27">
        <v>157855</v>
      </c>
      <c r="F85" s="12">
        <f t="shared" si="0"/>
        <v>7892.75</v>
      </c>
      <c r="G85" s="23" t="s">
        <v>4</v>
      </c>
      <c r="H85" s="2"/>
    </row>
    <row r="86" spans="1:8" ht="26.25" x14ac:dyDescent="0.25">
      <c r="A86" s="2"/>
      <c r="B86" s="47" t="s">
        <v>180</v>
      </c>
      <c r="C86" s="41">
        <v>2016</v>
      </c>
      <c r="D86" s="28">
        <v>60</v>
      </c>
      <c r="E86" s="27">
        <v>557281.46</v>
      </c>
      <c r="F86" s="12">
        <f t="shared" si="0"/>
        <v>9288.0243333333328</v>
      </c>
      <c r="G86" s="23" t="s">
        <v>4</v>
      </c>
      <c r="H86" s="2"/>
    </row>
    <row r="87" spans="1:8" x14ac:dyDescent="0.25">
      <c r="A87" s="2"/>
      <c r="B87" s="47" t="s">
        <v>148</v>
      </c>
      <c r="C87" s="41">
        <v>2016</v>
      </c>
      <c r="D87" s="28">
        <v>5</v>
      </c>
      <c r="E87" s="27">
        <v>4177892.08</v>
      </c>
      <c r="F87" s="12">
        <f t="shared" si="0"/>
        <v>835578.41599999997</v>
      </c>
      <c r="G87" s="23" t="s">
        <v>4</v>
      </c>
      <c r="H87" s="2"/>
    </row>
    <row r="88" spans="1:8" x14ac:dyDescent="0.25">
      <c r="A88" s="2"/>
      <c r="B88" s="97" t="s">
        <v>76</v>
      </c>
      <c r="C88" s="98"/>
      <c r="D88" s="98"/>
      <c r="E88" s="99"/>
      <c r="F88" s="21">
        <f>SUM(F10:F87)</f>
        <v>10859202.882899994</v>
      </c>
      <c r="G88" s="22" t="s">
        <v>4</v>
      </c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</sheetData>
  <sheetProtection password="DFE9" sheet="1" objects="1" scenarios="1"/>
  <mergeCells count="4">
    <mergeCell ref="B88:E8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2017-10-13T15:44:13Z</dcterms:modified>
</cp:coreProperties>
</file>