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K3" i="16" l="1"/>
  <c r="J3" i="16"/>
  <c r="I3" i="16"/>
  <c r="H3" i="16"/>
  <c r="G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K4" i="16" l="1"/>
  <c r="P3" i="16" l="1"/>
  <c r="F3" i="17"/>
  <c r="G3" i="17"/>
  <c r="G4" i="16" l="1"/>
  <c r="H4" i="16"/>
  <c r="I4" i="16"/>
  <c r="J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K5" i="16"/>
  <c r="K6" i="16"/>
  <c r="G5" i="17"/>
  <c r="F4" i="17"/>
  <c r="E5" i="17"/>
  <c r="G4" i="17"/>
  <c r="E4" i="17"/>
  <c r="F5" i="17"/>
  <c r="J5" i="16"/>
  <c r="O3" i="16" s="1"/>
  <c r="I6" i="16"/>
  <c r="J6" i="16"/>
  <c r="J3" i="24"/>
  <c r="H5" i="16"/>
  <c r="M3" i="16" s="1"/>
  <c r="H6" i="16"/>
  <c r="G5" i="16"/>
  <c r="G6" i="16"/>
  <c r="I5" i="16"/>
  <c r="N3" i="16" s="1"/>
  <c r="M3" i="24" l="1"/>
  <c r="B9" i="12" s="1"/>
  <c r="B10" i="12" s="1"/>
  <c r="L3" i="16"/>
  <c r="H3" i="17"/>
  <c r="B4" i="12" s="1"/>
  <c r="I2" i="15"/>
  <c r="K2" i="15" s="1"/>
  <c r="B2" i="12" s="1"/>
  <c r="Q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<sst xmlns="http://schemas.openxmlformats.org/spreadsheetml/2006/main" count="120" uniqueCount="78">
  <si>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</si>
  <si>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</si>
  <si>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</si>
  <si>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</si>
  <si>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</si>
  <si>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</si>
  <si>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</si>
  <si>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</si>
  <si>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</si>
  <si>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</si>
  <si>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</si>
  <si>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</si>
  <si>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</si>
  <si>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</si>
  <si>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</si>
  <si>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</si>
  <si>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</si>
  <si>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</si>
  <si>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</si>
  <si>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</si>
  <si>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</si>
  <si>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</si>
  <si>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</si>
  <si>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>Genanvendelse af akse</t>
  </si>
  <si>
    <t>Genanvendelse af sand</t>
  </si>
  <si>
    <t>Genanvendelse af aske i udlandet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</si>
  <si>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</si>
  <si>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</si>
  <si>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</si>
  <si>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</si>
  <si>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</si>
  <si>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</si>
  <si>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</si>
  <si>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</si>
  <si>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</si>
  <si>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</si>
  <si>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</si>
  <si>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</si>
  <si>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</si>
  <si>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</si>
  <si>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</si>
  <si>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</si>
  <si>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</si>
  <si>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</si>
  <si>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</si>
  <si>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</si>
  <si>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</si>
  <si>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</si>
  <si>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</si>
  <si>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</si>
  <si>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</si>
  <si>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</si>
  <si>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Skoletjeneste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</si>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</sst>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139161217.26696134</v>
      </c>
      <c r="C2" t="s">
        <v>11</v>
      </c>
    </row>
    <row r="3" spans="1:3" s="2" customFormat="1" x14ac:dyDescent="0.25">
      <c r="A3" s="5" t="s">
        <v>8</v>
      </c>
      <c r="B3" s="36">
        <f>'Miljø- og servicemål'!Q3</f>
        <v>4437637.3125411756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293414.39986666664</v>
      </c>
      <c r="C4" t="s">
        <v>11</v>
      </c>
    </row>
    <row r="5" spans="1:3" s="26" customFormat="1" x14ac:dyDescent="0.25">
      <c r="A5" s="3" t="s">
        <v>12</v>
      </c>
      <c r="B5" s="48">
        <f>SUM(B2:B4)</f>
        <v>143892268.97936919</v>
      </c>
      <c r="C5" s="62" t="s">
        <v>11</v>
      </c>
    </row>
    <row r="6" spans="1:3" x14ac:dyDescent="0.25">
      <c r="A6" s="47" t="s">
        <v>0</v>
      </c>
      <c r="B6" s="38">
        <f>Investeringer!E3</f>
        <v>90077361.144135326</v>
      </c>
      <c r="C6" s="23" t="s">
        <v>11</v>
      </c>
    </row>
    <row r="7" spans="1:3" x14ac:dyDescent="0.25">
      <c r="A7" s="4" t="s">
        <v>1</v>
      </c>
      <c r="B7" s="35">
        <f>Investeringer!F3</f>
        <v>52090458.735368088</v>
      </c>
      <c r="C7" t="s">
        <v>11</v>
      </c>
    </row>
    <row r="8" spans="1:3" x14ac:dyDescent="0.25">
      <c r="A8" s="4" t="s">
        <v>2</v>
      </c>
      <c r="B8" s="35">
        <f>Investeringer!G3</f>
        <v>10900625.258883758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7656943</v>
      </c>
      <c r="C9" t="s">
        <v>11</v>
      </c>
    </row>
    <row r="10" spans="1:3" s="22" customFormat="1" x14ac:dyDescent="0.25">
      <c r="A10" s="3" t="s">
        <v>50</v>
      </c>
      <c r="B10" s="48">
        <f>SUM(B6:B9)</f>
        <v>160725388.13838717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59289631</v>
      </c>
      <c r="C11" t="s">
        <v>11</v>
      </c>
    </row>
    <row r="12" spans="1:3" s="22" customFormat="1" x14ac:dyDescent="0.25">
      <c r="A12" s="3" t="s">
        <v>71</v>
      </c>
      <c r="B12" s="48">
        <f>SUM(B11:B11)</f>
        <v>59289631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61</v>
      </c>
      <c r="B14" s="37">
        <f>SUM(B5,B10,B12)</f>
        <v>363907288.11775637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55</v>
      </c>
      <c r="B16" s="37">
        <f>B14*Pristalsregulering!C8*Pristalsregulering!C9</f>
        <v>367128500.81627983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62</v>
      </c>
      <c r="D1" s="59" t="s">
        <v>63</v>
      </c>
      <c r="E1" s="59" t="s">
        <v>56</v>
      </c>
      <c r="F1" s="52" t="s">
        <v>64</v>
      </c>
      <c r="G1" s="52" t="s">
        <v>72</v>
      </c>
      <c r="H1" s="52" t="s">
        <v>65</v>
      </c>
      <c r="I1" s="52" t="s">
        <v>51</v>
      </c>
      <c r="J1" s="11" t="s">
        <v>66</v>
      </c>
      <c r="K1" s="11" t="s">
        <v>67</v>
      </c>
    </row>
    <row r="2" spans="1:11" s="23" customFormat="1" ht="15.75" thickTop="1" x14ac:dyDescent="0.25">
      <c r="A2" s="28">
        <v>2015</v>
      </c>
      <c r="B2" s="49">
        <v>130897759</v>
      </c>
      <c r="C2" s="49">
        <v>0</v>
      </c>
      <c r="D2" s="49">
        <f>B2+C2</f>
        <v>130897759</v>
      </c>
      <c r="E2" s="50">
        <f>D2</f>
        <v>130897759</v>
      </c>
      <c r="F2" s="49">
        <v>142977913.40237248</v>
      </c>
      <c r="G2" s="49">
        <v>0</v>
      </c>
      <c r="H2" s="49">
        <f>F2-G2</f>
        <v>142977913.40237248</v>
      </c>
      <c r="I2" s="49">
        <f>AVERAGEIF(E2:E4,"&lt;&gt;0")</f>
        <v>139161217.26696134</v>
      </c>
      <c r="J2" s="49">
        <v>103816401.14545664</v>
      </c>
      <c r="K2" s="39">
        <f>IF(H2&gt;I2,IF(I2&gt;J2,I2,J2),H2)</f>
        <v>139161217.26696134</v>
      </c>
    </row>
    <row r="3" spans="1:11" s="23" customFormat="1" x14ac:dyDescent="0.25">
      <c r="A3" s="28">
        <v>2014</v>
      </c>
      <c r="B3" s="49">
        <v>130563486</v>
      </c>
      <c r="C3" s="49"/>
      <c r="D3" s="49">
        <f t="shared" ref="D3:D4" si="0">B3+C3</f>
        <v>130563486</v>
      </c>
      <c r="E3" s="50">
        <f>D3*Pristalsregulering!C7</f>
        <v>130667936.78879999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153490957</v>
      </c>
      <c r="C4" s="49"/>
      <c r="D4" s="49">
        <f t="shared" si="0"/>
        <v>153490957</v>
      </c>
      <c r="E4" s="50">
        <f>D4*Pristalsregulering!$C$6*Pristalsregulering!$C$7</f>
        <v>155917956.01208398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5" width="30.7109375" customWidth="1"/>
    <col min="6" max="6" width="30.7109375" style="22" customWidth="1"/>
    <col min="7" max="7" width="30.7109375" style="55" customWidth="1"/>
    <col min="8" max="10" width="30.7109375" customWidth="1"/>
    <col min="11" max="11" width="30.7109375" style="22" customWidth="1"/>
    <col min="12" max="12" width="30.7109375" style="55" customWidth="1"/>
    <col min="13" max="15" width="30.7109375" customWidth="1"/>
    <col min="16" max="16" width="30.7109375" style="22" customWidth="1"/>
    <col min="17" max="17" width="30.7109375" style="55" customWidth="1"/>
    <col min="18" max="18" width="9.140625" hidden="1" customWidth="1"/>
    <col min="19" max="29" width="0" hidden="1" customWidth="1"/>
    <col min="30" max="30" width="9.140625" hidden="1" customWidth="1"/>
    <col min="31" max="70" width="0" hidden="1" customWidth="1"/>
    <col min="71" max="71" width="9.140625" hidden="1" customWidth="1"/>
    <col min="72" max="82" width="0" hidden="1" customWidth="1"/>
    <col min="83" max="83" width="9.140625" hidden="1" customWidth="1"/>
    <col min="84" max="105" width="0" hidden="1" customWidth="1"/>
    <col min="106" max="106" width="9.140625" hidden="1" customWidth="1"/>
    <col min="107" max="117" width="0" hidden="1" customWidth="1"/>
    <col min="118" max="118" width="9.140625" hidden="1" customWidth="1"/>
    <col min="119" max="125" width="0" hidden="1" customWidth="1"/>
    <col min="126" max="126" width="9.140625" hidden="1" customWidth="1"/>
    <col min="127" max="137" width="0" hidden="1" customWidth="1"/>
    <col min="138" max="138" width="9.140625" hidden="1" customWidth="1"/>
    <col min="139" max="158" width="0" hidden="1" customWidth="1"/>
    <col min="159" max="159" width="9.140625" hidden="1" customWidth="1"/>
    <col min="160" max="170" width="0" hidden="1" customWidth="1"/>
    <col min="171" max="171" width="9.140625" hidden="1" customWidth="1"/>
    <col min="172" max="178" width="0" hidden="1" customWidth="1"/>
    <col min="179" max="179" width="9.140625" hidden="1" customWidth="1"/>
    <col min="180" max="190" width="0" hidden="1" customWidth="1"/>
    <col min="191" max="191" width="9.140625" hidden="1" customWidth="1"/>
    <col min="192" max="193" width="0" hidden="1" customWidth="1"/>
    <col min="194" max="194" width="9.140625" hidden="1" customWidth="1"/>
    <col min="195" max="205" width="0" hidden="1" customWidth="1"/>
    <col min="206" max="206" width="9.140625" hidden="1" customWidth="1"/>
    <col min="207" max="213" width="0" hidden="1" customWidth="1"/>
    <col min="214" max="214" width="9.140625" hidden="1" customWidth="1"/>
    <col min="215" max="225" width="0" hidden="1" customWidth="1"/>
    <col min="226" max="226" width="9.140625" hidden="1" customWidth="1"/>
    <col min="227" max="233" width="0" hidden="1" customWidth="1"/>
    <col min="234" max="234" width="9.140625" hidden="1" customWidth="1"/>
    <col min="235" max="245" width="0" hidden="1" customWidth="1"/>
    <col min="246" max="247" width="9.140625" hidden="1" customWidth="1"/>
    <col min="248" max="258" width="0" hidden="1" customWidth="1"/>
    <col min="259" max="259" width="9.140625" hidden="1" customWidth="1"/>
    <col min="260" max="266" width="0" hidden="1" customWidth="1"/>
    <col min="267" max="267" width="9.140625" hidden="1" customWidth="1"/>
    <col min="268" max="278" width="0" hidden="1" customWidth="1"/>
    <col min="279" max="279" width="9.140625" hidden="1" customWidth="1"/>
    <col min="280" max="286" width="0" hidden="1" customWidth="1"/>
    <col min="287" max="287" width="9.140625" hidden="1" customWidth="1"/>
    <col min="288" max="298" width="0" hidden="1" customWidth="1"/>
    <col min="299" max="299" width="9.140625" hidden="1" customWidth="1"/>
    <col min="300" max="301" width="0" hidden="1" customWidth="1"/>
    <col min="302" max="302" width="9.140625" hidden="1" customWidth="1"/>
    <col min="303" max="313" width="0" hidden="1" customWidth="1"/>
    <col min="314" max="314" width="9.140625" hidden="1" customWidth="1"/>
    <col min="315" max="321" width="0" hidden="1" customWidth="1"/>
    <col min="322" max="322" width="9.140625" hidden="1" customWidth="1"/>
    <col min="323" max="333" width="0" hidden="1" customWidth="1"/>
    <col min="334" max="334" width="9.140625" hidden="1" customWidth="1"/>
    <col min="335" max="341" width="0" hidden="1" customWidth="1"/>
    <col min="342" max="16384" width="9.140625" hidden="1"/>
  </cols>
  <sheetData>
    <row r="1" spans="1:17" s="27" customFormat="1" ht="15.75" thickBot="1" x14ac:dyDescent="0.3">
      <c r="A1" s="9"/>
      <c r="B1" s="33" t="s">
        <v>74</v>
      </c>
      <c r="C1" s="33"/>
      <c r="D1" s="33"/>
      <c r="E1" s="33"/>
      <c r="F1" s="33"/>
      <c r="G1" s="63" t="s">
        <v>75</v>
      </c>
      <c r="H1" s="10"/>
      <c r="I1" s="10"/>
      <c r="J1" s="10"/>
      <c r="K1" s="10"/>
      <c r="L1" s="63" t="s">
        <v>76</v>
      </c>
      <c r="M1" s="10"/>
      <c r="N1" s="10"/>
      <c r="O1" s="10"/>
      <c r="P1" s="10"/>
      <c r="Q1" s="63"/>
    </row>
    <row r="2" spans="1:17" ht="30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34" t="s">
        <v>25</v>
      </c>
      <c r="F2" s="34" t="s">
        <v>52</v>
      </c>
      <c r="G2" s="56" t="s">
        <v>22</v>
      </c>
      <c r="H2" s="34" t="s">
        <v>23</v>
      </c>
      <c r="I2" s="34" t="s">
        <v>24</v>
      </c>
      <c r="J2" s="34" t="s">
        <v>25</v>
      </c>
      <c r="K2" s="34" t="s">
        <v>52</v>
      </c>
      <c r="L2" s="56" t="s">
        <v>22</v>
      </c>
      <c r="M2" s="34" t="s">
        <v>23</v>
      </c>
      <c r="N2" s="34" t="s">
        <v>24</v>
      </c>
      <c r="O2" s="34" t="s">
        <v>25</v>
      </c>
      <c r="P2" s="34" t="s">
        <v>52</v>
      </c>
      <c r="Q2" s="53" t="s">
        <v>26</v>
      </c>
    </row>
    <row r="3" spans="1:17" s="22" customFormat="1" x14ac:dyDescent="0.25">
      <c r="A3" s="28">
        <v>2016</v>
      </c>
      <c r="B3" s="72">
        <v>701051</v>
      </c>
      <c r="C3" s="72">
        <v>0</v>
      </c>
      <c r="D3" s="72">
        <v>0</v>
      </c>
      <c r="E3" s="72">
        <v>0</v>
      </c>
      <c r="F3" s="72">
        <v>1531316</v>
      </c>
      <c r="G3" s="45">
        <f>B3/Pristalsregulering!$C$8</f>
        <v>703725.15559124679</v>
      </c>
      <c r="H3" s="35">
        <f>C3/Pristalsregulering!$C$8</f>
        <v>0</v>
      </c>
      <c r="I3" s="35">
        <f>D3/Pristalsregulering!$C$8</f>
        <v>0</v>
      </c>
      <c r="J3" s="35">
        <f>E3/Pristalsregulering!$C$8</f>
        <v>0</v>
      </c>
      <c r="K3" s="35">
        <f>F3/Pristalsregulering!$C$8</f>
        <v>1537157.1973499297</v>
      </c>
      <c r="L3" s="45">
        <f>IF(G4=0,0,AVERAGEIF(G4:G6,"&lt;&gt;0"))+G3</f>
        <v>703725.15559124679</v>
      </c>
      <c r="M3" s="38">
        <f>IF(H4=0,0,AVERAGEIF(H4:H6,"&lt;&gt;0"))+H3</f>
        <v>882766.91999999993</v>
      </c>
      <c r="N3" s="38">
        <f>IF(I4=0,0,AVERAGEIF(I4:I6,"&lt;&gt;0"))+I3</f>
        <v>505720.79079999996</v>
      </c>
      <c r="O3" s="38">
        <f>IF(J4=0,0,AVERAGEIF(J4:J6,"&lt;&gt;0"))+J3</f>
        <v>808267.24879999994</v>
      </c>
      <c r="P3" s="38">
        <f>IF(K4=0,0,AVERAGEIF(K4:K6,"&lt;&gt;0"))+K3</f>
        <v>1537157.1973499297</v>
      </c>
      <c r="Q3" s="57">
        <f>SUM(L3:P3)</f>
        <v>4437637.3125411756</v>
      </c>
    </row>
    <row r="4" spans="1:17" x14ac:dyDescent="0.25">
      <c r="A4" s="28">
        <v>2015</v>
      </c>
      <c r="B4" s="35"/>
      <c r="C4" s="35">
        <v>908799</v>
      </c>
      <c r="D4" s="35">
        <v>340178</v>
      </c>
      <c r="E4" s="35">
        <v>725200</v>
      </c>
      <c r="F4" s="35"/>
      <c r="G4" s="45">
        <f t="shared" ref="G4:K4" si="0">B4</f>
        <v>0</v>
      </c>
      <c r="H4" s="35">
        <f t="shared" si="0"/>
        <v>908799</v>
      </c>
      <c r="I4" s="35">
        <f t="shared" si="0"/>
        <v>340178</v>
      </c>
      <c r="J4" s="35">
        <f t="shared" si="0"/>
        <v>725200</v>
      </c>
      <c r="K4" s="35">
        <f t="shared" si="0"/>
        <v>0</v>
      </c>
      <c r="L4" s="45"/>
      <c r="M4" s="38"/>
      <c r="N4" s="38"/>
      <c r="O4" s="38"/>
      <c r="P4" s="38"/>
      <c r="Q4" s="54"/>
    </row>
    <row r="5" spans="1:17" x14ac:dyDescent="0.25">
      <c r="A5" s="28">
        <v>2014</v>
      </c>
      <c r="B5" s="35"/>
      <c r="C5" s="35">
        <v>856050</v>
      </c>
      <c r="D5" s="35">
        <v>670727</v>
      </c>
      <c r="E5" s="35">
        <v>890622</v>
      </c>
      <c r="F5" s="35"/>
      <c r="G5" s="45">
        <f>B5*Pristalsregulering!$C$7</f>
        <v>0</v>
      </c>
      <c r="H5" s="35">
        <f>C5*Pristalsregulering!$C$7</f>
        <v>856734.84</v>
      </c>
      <c r="I5" s="35">
        <f>D5*Pristalsregulering!$C$7</f>
        <v>671263.58159999992</v>
      </c>
      <c r="J5" s="35">
        <f>E5*Pristalsregulering!$C$7</f>
        <v>891334.49759999989</v>
      </c>
      <c r="K5" s="35">
        <f>F5*Pristalsregulering!$C$7</f>
        <v>0</v>
      </c>
      <c r="L5" s="45"/>
      <c r="M5" s="35"/>
      <c r="N5" s="35"/>
      <c r="O5" s="35"/>
      <c r="P5" s="38"/>
      <c r="Q5" s="45"/>
    </row>
    <row r="6" spans="1:17" x14ac:dyDescent="0.25">
      <c r="A6" s="28">
        <v>2013</v>
      </c>
      <c r="B6" s="35"/>
      <c r="C6" s="35"/>
      <c r="D6" s="35"/>
      <c r="E6" s="35"/>
      <c r="F6" s="35"/>
      <c r="G6" s="45">
        <f>B6*Pristalsregulering!$C$7*Pristalsregulering!$C$6</f>
        <v>0</v>
      </c>
      <c r="H6" s="35">
        <f>C6*Pristalsregulering!$C$7*Pristalsregulering!$C$6</f>
        <v>0</v>
      </c>
      <c r="I6" s="35">
        <f>D6*Pristalsregulering!$C$7*Pristalsregulering!$C$6</f>
        <v>0</v>
      </c>
      <c r="J6" s="35">
        <f>E6*Pristalsregulering!$C$7*Pristalsregulering!$C$6</f>
        <v>0</v>
      </c>
      <c r="K6" s="35">
        <f>F6*Pristalsregulering!$C$7*Pristalsregulering!$C$6</f>
        <v>0</v>
      </c>
      <c r="L6" s="45"/>
      <c r="M6" s="35"/>
      <c r="N6" s="35"/>
      <c r="O6" s="35"/>
      <c r="P6" s="38"/>
      <c r="Q6" s="45"/>
    </row>
    <row r="7" spans="1:17" hidden="1" x14ac:dyDescent="0.25"/>
    <row r="8" spans="1:17" hidden="1" x14ac:dyDescent="0.25"/>
    <row r="9" spans="1:17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27</v>
      </c>
      <c r="C1" s="74"/>
      <c r="D1" s="74"/>
      <c r="E1" s="75" t="s">
        <v>57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28</v>
      </c>
      <c r="C2" s="20" t="s">
        <v>29</v>
      </c>
      <c r="D2" s="20" t="s">
        <v>30</v>
      </c>
      <c r="E2" s="16" t="s">
        <v>28</v>
      </c>
      <c r="F2" s="20" t="s">
        <v>29</v>
      </c>
      <c r="G2" s="46" t="s">
        <v>30</v>
      </c>
      <c r="H2" s="6" t="s">
        <v>32</v>
      </c>
    </row>
    <row r="3" spans="1:8" x14ac:dyDescent="0.25">
      <c r="A3" s="31">
        <v>2015</v>
      </c>
      <c r="B3" s="41">
        <v>28650</v>
      </c>
      <c r="C3" s="42">
        <v>452900</v>
      </c>
      <c r="D3" s="42">
        <v>0</v>
      </c>
      <c r="E3" s="41">
        <f>B3</f>
        <v>28650</v>
      </c>
      <c r="F3" s="42">
        <f t="shared" ref="F3:G3" si="0">C3</f>
        <v>452900</v>
      </c>
      <c r="G3" s="43">
        <f t="shared" si="0"/>
        <v>0</v>
      </c>
      <c r="H3" s="44">
        <f>IF(E3=0,0,AVERAGEIF(E3:E5,"&lt;&gt;0"))+IF(F3=0,0,AVERAGEIF(F3:F5,"&lt;&gt;0"))+IF(G3=0,0,AVERAGEIF(G3:G5,"&lt;&gt;0"))</f>
        <v>293414.39986666664</v>
      </c>
    </row>
    <row r="4" spans="1:8" x14ac:dyDescent="0.25">
      <c r="A4" s="31">
        <v>2014</v>
      </c>
      <c r="B4" s="41">
        <v>30500</v>
      </c>
      <c r="C4" s="42">
        <v>166600</v>
      </c>
      <c r="D4" s="42">
        <v>8000</v>
      </c>
      <c r="E4" s="41">
        <f>B4*Pristalsregulering!$C$7</f>
        <v>30524.399999999998</v>
      </c>
      <c r="F4" s="42">
        <f>C4*Pristalsregulering!$C$7</f>
        <v>166733.28</v>
      </c>
      <c r="G4" s="43">
        <f>D4*Pristalsregulering!$C$7</f>
        <v>8006.4</v>
      </c>
      <c r="H4" s="42"/>
    </row>
    <row r="5" spans="1:8" x14ac:dyDescent="0.25">
      <c r="A5" s="31">
        <v>2013</v>
      </c>
      <c r="B5" s="41">
        <v>38500</v>
      </c>
      <c r="C5" s="42">
        <v>159800</v>
      </c>
      <c r="D5" s="42">
        <v>0</v>
      </c>
      <c r="E5" s="41">
        <f>B5*Pristalsregulering!$C$7*Pristalsregulering!$C$6</f>
        <v>39108.761999999995</v>
      </c>
      <c r="F5" s="42">
        <f>C5*Pristalsregulering!$C$7*Pristalsregulering!$C$6</f>
        <v>162326.75759999998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69</v>
      </c>
      <c r="C1" s="76"/>
      <c r="D1" s="77"/>
      <c r="E1" s="78" t="s">
        <v>70</v>
      </c>
      <c r="F1" s="78"/>
      <c r="G1" s="78"/>
    </row>
    <row r="2" spans="1:7" s="22" customFormat="1" ht="15.75" thickTop="1" x14ac:dyDescent="0.25">
      <c r="A2" s="69" t="s">
        <v>13</v>
      </c>
      <c r="B2" s="23" t="s">
        <v>68</v>
      </c>
      <c r="C2" s="23" t="s">
        <v>1</v>
      </c>
      <c r="D2" s="28" t="s">
        <v>77</v>
      </c>
      <c r="E2" s="22" t="s">
        <v>0</v>
      </c>
      <c r="F2" s="22" t="s">
        <v>1</v>
      </c>
      <c r="G2" s="22" t="s">
        <v>77</v>
      </c>
    </row>
    <row r="3" spans="1:7" s="22" customFormat="1" x14ac:dyDescent="0.25">
      <c r="A3" s="70">
        <v>2015</v>
      </c>
      <c r="B3" s="38">
        <v>82738538.415198535</v>
      </c>
      <c r="C3" s="38">
        <v>50533862.417600028</v>
      </c>
      <c r="D3" s="40">
        <v>10859202.8829</v>
      </c>
      <c r="E3" s="35">
        <f>B3*Pristalsregulering!C2*Pristalsregulering!C3*Pristalsregulering!C4*Pristalsregulering!C5*Pristalsregulering!C6*Pristalsregulering!C7</f>
        <v>90077361.144135326</v>
      </c>
      <c r="F3" s="35">
        <v>52090458.735368088</v>
      </c>
      <c r="G3" s="35">
        <f xml:space="preserve"> D3/Pristalsregulering!$C$8</f>
        <v>10900625.258883758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43</v>
      </c>
      <c r="C1" s="74"/>
      <c r="D1" s="74"/>
      <c r="E1" s="74"/>
      <c r="F1" s="75" t="s">
        <v>58</v>
      </c>
      <c r="G1" s="76"/>
      <c r="H1" s="76"/>
      <c r="I1" s="76"/>
      <c r="J1" s="79" t="s">
        <v>32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44</v>
      </c>
      <c r="C2" s="7" t="s">
        <v>45</v>
      </c>
      <c r="D2" s="7" t="s">
        <v>46</v>
      </c>
      <c r="E2" s="51" t="s">
        <v>47</v>
      </c>
      <c r="F2" s="7" t="s">
        <v>44</v>
      </c>
      <c r="G2" s="7" t="s">
        <v>45</v>
      </c>
      <c r="H2" s="7" t="s">
        <v>46</v>
      </c>
      <c r="I2" s="51" t="s">
        <v>47</v>
      </c>
      <c r="J2" s="20" t="s">
        <v>48</v>
      </c>
      <c r="K2" s="20" t="s">
        <v>45</v>
      </c>
      <c r="L2" s="15" t="s">
        <v>73</v>
      </c>
      <c r="M2" s="6" t="s">
        <v>31</v>
      </c>
      <c r="N2" s="32"/>
    </row>
    <row r="3" spans="1:14" x14ac:dyDescent="0.25">
      <c r="A3" s="28">
        <v>2015</v>
      </c>
      <c r="B3" s="45">
        <v>0</v>
      </c>
      <c r="C3" s="38">
        <v>7656943</v>
      </c>
      <c r="D3" s="38">
        <v>0</v>
      </c>
      <c r="E3" s="40">
        <v>0</v>
      </c>
      <c r="F3" s="38">
        <f>B3</f>
        <v>0</v>
      </c>
      <c r="G3" s="38">
        <f>C3</f>
        <v>7656943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7656943</v>
      </c>
      <c r="L3" s="43">
        <f>AVERAGE(H3:H5)+AVERAGE(I3:I5)</f>
        <v>0</v>
      </c>
      <c r="M3" s="44">
        <f>SUM(J3:L3)</f>
        <v>7656943</v>
      </c>
      <c r="N3" s="23"/>
    </row>
    <row r="4" spans="1:14" x14ac:dyDescent="0.25">
      <c r="A4" s="28">
        <v>2014</v>
      </c>
      <c r="B4" s="45">
        <v>0</v>
      </c>
      <c r="C4" s="38">
        <v>7199184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7204943.3471999997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5637154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5726288.679047999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33</v>
      </c>
      <c r="C1" s="66" t="s">
        <v>34</v>
      </c>
      <c r="D1" s="66" t="s">
        <v>35</v>
      </c>
      <c r="E1" s="66" t="s">
        <v>36</v>
      </c>
      <c r="F1" s="66" t="s">
        <v>37</v>
      </c>
      <c r="G1" s="66" t="s">
        <v>38</v>
      </c>
      <c r="H1" s="66" t="s">
        <v>39</v>
      </c>
      <c r="I1" s="66" t="s">
        <v>40</v>
      </c>
      <c r="J1" s="66" t="s">
        <v>41</v>
      </c>
      <c r="K1" s="66" t="s">
        <v>59</v>
      </c>
      <c r="L1" s="67" t="s">
        <v>42</v>
      </c>
      <c r="M1" s="14" t="s">
        <v>31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9532679</v>
      </c>
      <c r="E2" s="42">
        <v>1832178</v>
      </c>
      <c r="F2" s="42">
        <v>0</v>
      </c>
      <c r="G2" s="42">
        <v>0</v>
      </c>
      <c r="H2" s="42">
        <v>39922962</v>
      </c>
      <c r="I2" s="42">
        <v>0</v>
      </c>
      <c r="J2" s="42"/>
      <c r="K2" s="42"/>
      <c r="L2" s="43">
        <v>7969289</v>
      </c>
      <c r="M2" s="44">
        <f>SUM(B2:L2)</f>
        <v>59289631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49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49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60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53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54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2017-10-13T15:44:13Z</dcterms:modified>
</cp:coreProperties>
</file>