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G19" i="19"/>
  <c r="G20" i="19" s="1"/>
  <c r="E11" i="2" s="1"/>
  <c r="F16" i="11" l="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17" i="11"/>
  <c r="E20" i="2" l="1"/>
  <c r="E17" i="15"/>
  <c r="G17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18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G35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<sst xmlns="http://schemas.openxmlformats.org/spreadsheetml/2006/main" count="361" uniqueCount="186">
  <si>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</si>
  <si>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</si>
  <si>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</si>
  <si>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</si>
  <si>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</si>
  <si>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</si>
  <si>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</si>
  <si>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</si>
  <si>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</si>
  <si>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</si>
  <si>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</si>
  <si>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</si>
  <si>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</si>
  <si>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</si>
  <si>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</si>
  <si>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</si>
  <si>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</si>
  <si>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</si>
  <si>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</si>
  <si>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</si>
  <si>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</si>
  <si>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</si>
  <si>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</si>
  <si>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</si>
  <si>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</si>
  <si>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</si>
  <si>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</si>
  <si>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</si>
  <si>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</si>
  <si>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</si>
  <si>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</si>
  <si>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</si>
  <si>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</si>
  <si>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</si>
  <si>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</si>
  <si>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</si>
  <si>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</si>
  <si>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</si>
  <si>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</si>
  <si>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</si>
  <si>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</si>
  <si>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</si>
  <si>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</si>
  <si>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</si>
  <si>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</si>
  <si>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</si>
  <si>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</si>
  <si>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</si>
  <si>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</si>
  <si>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</si>
  <si>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</si>
  <si>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</si>
  <si>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</si>
  <si>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</si>
  <si>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</si>
  <si>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</si>
  <si>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</si>
  <si>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</si>
  <si>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</si>
  <si>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</si>
  <si>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</si>
  <si>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</si>
  <si>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</si>
  <si>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</si>
  <si>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</si>
  <si>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</si>
  <si>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</si>
  <si>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</si>
  <si>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</si>
  <si>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</si>
  <si>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</si>
  <si>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</si>
  <si>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</si>
  <si>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</si>
  <si>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</si>
  <si>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</si>
  <si>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</si>
  <si>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</si>
  <si>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</si>
  <si>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</si>
  <si>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</si>
  <si>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</si>
  <si>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</si>
  <si>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</si>
  <si>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</si>
  <si>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</si>
  <si>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</si>
  <si>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</si>
  <si>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</si>
  <si>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</si>
  <si>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</si>
  <si>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</si>
  <si>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</si>
  <si>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</si>
  <si>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</si>
  <si>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</si>
  <si>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</si>
  <si>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</si>
  <si>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</si>
  <si>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</si>
  <si>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</si>
  <si>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</si>
  <si>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</si>
  <si>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</si>
  <si>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</si>
  <si>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</si>
  <si>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</si>
  <si>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</si>
  <si>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</si>
  <si>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</si>
  <si>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</si>
  <si>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</si>
  <si>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</si>
  <si>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</si>
  <si>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</si>
  <si>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</si>
  <si>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</si>
  <si>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</si>
  <si>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</si>
  <si>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</si>
  <si>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</si>
  <si>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</si>
  <si>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</si>
  <si>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</si>
  <si>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</si>
  <si>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</si>
  <si>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</si>
  <si>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</si>
  <si>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</si>
  <si>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</si>
  <si>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</si>
  <si>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</si>
  <si>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</si>
  <si>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</si>
  <si>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</si>
  <si>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</si>
  <si>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</si>
  <si>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</si>
  <si>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</si>
  <si>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</si>
  <si>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</si>
  <si>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</si>
  <si>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</si>
  <si>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</si>
  <si>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</si>
  <si>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</si>
  <si>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</si>
  <si>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Strømpeforing Ø 200 mm &lt; Ledningsnet ≤ Ø 500 mm</t>
  </si>
  <si>
    <t>Kælder</t>
  </si>
  <si>
    <t>Pumpeinstallation Miljøklasse A (300-600 l/s) - Mek/EL</t>
  </si>
  <si>
    <t>Forsinkelsesbassiner, lukkede med automatisk rensning og SRO Miljøklasse A (5.000-10.000 m3) - Konstruktionre</t>
  </si>
  <si>
    <t>Jordbassin Klasse A</t>
  </si>
  <si>
    <t>Pumpestationer i brønde (&lt; 6,25 m2), SRO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</si>
  <si>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</si>
  <si>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</si>
  <si>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</si>
  <si>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</si>
  <si>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</si>
  <si>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</si>
  <si>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</si>
  <si>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</si>
  <si>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</si>
  <si>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</si>
  <si>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 xml:space="preserve">kr.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</si>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</sst>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175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78</v>
      </c>
      <c r="C9" s="90"/>
      <c r="D9" s="90"/>
      <c r="E9" s="90"/>
      <c r="F9" s="91"/>
      <c r="G9" s="27">
        <v>31223197.449999999</v>
      </c>
      <c r="H9" s="23" t="s">
        <v>4</v>
      </c>
      <c r="I9" s="2"/>
    </row>
    <row r="10" spans="1:9" x14ac:dyDescent="0.25">
      <c r="A10" s="2"/>
      <c r="B10" s="89" t="s">
        <v>79</v>
      </c>
      <c r="C10" s="90"/>
      <c r="D10" s="90"/>
      <c r="E10" s="90"/>
      <c r="F10" s="91"/>
      <c r="G10" s="27">
        <v>30217650</v>
      </c>
      <c r="H10" s="23" t="s">
        <v>4</v>
      </c>
      <c r="I10" s="2"/>
    </row>
    <row r="11" spans="1:9" x14ac:dyDescent="0.25">
      <c r="A11" s="2"/>
      <c r="B11" s="99" t="s">
        <v>176</v>
      </c>
      <c r="C11" s="100"/>
      <c r="D11" s="100"/>
      <c r="E11" s="100"/>
      <c r="F11" s="101"/>
      <c r="G11" s="21">
        <f>G9-G10</f>
        <v>1005547.4499999993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177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80</v>
      </c>
      <c r="C15" s="90"/>
      <c r="D15" s="90"/>
      <c r="E15" s="90"/>
      <c r="F15" s="91"/>
      <c r="G15" s="27">
        <v>9998004.4700000007</v>
      </c>
      <c r="H15" s="23" t="s">
        <v>4</v>
      </c>
      <c r="I15" s="2"/>
    </row>
    <row r="16" spans="1:9" x14ac:dyDescent="0.25">
      <c r="A16" s="2"/>
      <c r="B16" s="89" t="s">
        <v>81</v>
      </c>
      <c r="C16" s="90"/>
      <c r="D16" s="90"/>
      <c r="E16" s="90"/>
      <c r="F16" s="91"/>
      <c r="G16" s="27">
        <v>10433564</v>
      </c>
      <c r="H16" s="23" t="s">
        <v>4</v>
      </c>
      <c r="I16" s="2"/>
    </row>
    <row r="17" spans="1:9" x14ac:dyDescent="0.25">
      <c r="A17" s="2"/>
      <c r="B17" s="99" t="s">
        <v>177</v>
      </c>
      <c r="C17" s="100"/>
      <c r="D17" s="100"/>
      <c r="E17" s="100"/>
      <c r="F17" s="101"/>
      <c r="G17" s="21">
        <f>G15-G16</f>
        <v>-435559.52999999933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178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82</v>
      </c>
      <c r="C21" s="90"/>
      <c r="D21" s="90"/>
      <c r="E21" s="90"/>
      <c r="F21" s="91"/>
      <c r="G21" s="27">
        <v>231146.28</v>
      </c>
      <c r="H21" s="23" t="s">
        <v>4</v>
      </c>
      <c r="I21" s="2"/>
    </row>
    <row r="22" spans="1:9" x14ac:dyDescent="0.25">
      <c r="A22" s="2"/>
      <c r="B22" s="89" t="s">
        <v>83</v>
      </c>
      <c r="C22" s="90"/>
      <c r="D22" s="90"/>
      <c r="E22" s="90"/>
      <c r="F22" s="91"/>
      <c r="G22" s="27">
        <v>146250</v>
      </c>
      <c r="H22" s="23" t="s">
        <v>4</v>
      </c>
      <c r="I22" s="2"/>
    </row>
    <row r="23" spans="1:9" x14ac:dyDescent="0.25">
      <c r="A23" s="2"/>
      <c r="B23" s="99" t="s">
        <v>178</v>
      </c>
      <c r="C23" s="100"/>
      <c r="D23" s="100"/>
      <c r="E23" s="100"/>
      <c r="F23" s="101"/>
      <c r="G23" s="21">
        <f>G21-G22</f>
        <v>84896.28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179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84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85</v>
      </c>
      <c r="C28" s="90"/>
      <c r="D28" s="90"/>
      <c r="E28" s="90"/>
      <c r="F28" s="91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179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87</v>
      </c>
      <c r="C33" s="90"/>
      <c r="D33" s="90"/>
      <c r="E33" s="90"/>
      <c r="F33" s="91"/>
      <c r="G33" s="12">
        <f>'Fane 8. Gen. inv. i 2016'!F18</f>
        <v>892356.5066666666</v>
      </c>
      <c r="H33" s="23" t="s">
        <v>4</v>
      </c>
      <c r="I33" s="2"/>
    </row>
    <row r="34" spans="1:9" x14ac:dyDescent="0.25">
      <c r="A34" s="2"/>
      <c r="B34" s="89" t="s">
        <v>88</v>
      </c>
      <c r="C34" s="90"/>
      <c r="D34" s="90"/>
      <c r="E34" s="90"/>
      <c r="F34" s="91"/>
      <c r="G34" s="27">
        <v>1614466.6666666667</v>
      </c>
      <c r="H34" s="23" t="s">
        <v>4</v>
      </c>
      <c r="I34" s="2"/>
    </row>
    <row r="35" spans="1:9" x14ac:dyDescent="0.25">
      <c r="A35" s="2"/>
      <c r="B35" s="99" t="s">
        <v>86</v>
      </c>
      <c r="C35" s="100"/>
      <c r="D35" s="100"/>
      <c r="E35" s="100"/>
      <c r="F35" s="101"/>
      <c r="G35" s="21">
        <f>G33-G34</f>
        <v>-722110.16000000015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90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78067158.828114152</v>
      </c>
      <c r="H9" s="38" t="s">
        <v>4</v>
      </c>
      <c r="I9" s="2"/>
    </row>
    <row r="10" spans="1:9" x14ac:dyDescent="0.25">
      <c r="A10" s="2"/>
      <c r="B10" s="99" t="s">
        <v>92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15840008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93</v>
      </c>
      <c r="C12" s="90"/>
      <c r="D12" s="91"/>
      <c r="E12" s="27">
        <v>5860255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94</v>
      </c>
      <c r="C13" s="90"/>
      <c r="D13" s="91"/>
      <c r="E13" s="27">
        <v>-1116587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95</v>
      </c>
      <c r="C14" s="90"/>
      <c r="D14" s="91"/>
      <c r="E14" s="27">
        <v>3445600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24029276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47591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47591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-7609315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-1234396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-15233156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-24076867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0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9" t="s">
        <v>96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71592005.370000005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5242885.83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76834891.200000003</v>
      </c>
      <c r="F35" s="38" t="s">
        <v>4</v>
      </c>
      <c r="G35" s="18">
        <f>-E35</f>
        <v>-76834891.200000003</v>
      </c>
      <c r="H35" s="38" t="s">
        <v>4</v>
      </c>
      <c r="I35" s="2"/>
    </row>
    <row r="36" spans="1:9" x14ac:dyDescent="0.25">
      <c r="A36" s="2"/>
      <c r="B36" s="99" t="s">
        <v>97</v>
      </c>
      <c r="C36" s="100"/>
      <c r="D36" s="100"/>
      <c r="E36" s="100"/>
      <c r="F36" s="101"/>
      <c r="G36" s="21">
        <f>$G$9+$G$28+$G$30+$G$35</f>
        <v>1232267.628114149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172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116</v>
      </c>
      <c r="C9" s="94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119" t="s">
        <v>173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133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145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168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185</v>
      </c>
      <c r="C16" s="93"/>
      <c r="D16" s="93"/>
      <c r="E16" s="94"/>
      <c r="F16" s="117" t="s">
        <v>169</v>
      </c>
      <c r="G16" s="117"/>
      <c r="H16" s="2"/>
    </row>
    <row r="17" spans="1:8" x14ac:dyDescent="0.25">
      <c r="A17" s="2"/>
      <c r="B17" s="89" t="s">
        <v>181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170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171</v>
      </c>
      <c r="C19" s="100"/>
      <c r="D19" s="100"/>
      <c r="E19" s="10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117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119</v>
      </c>
      <c r="C9" s="46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35" t="s">
        <v>180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128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144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82189771.489979953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29922084.660329662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121</v>
      </c>
      <c r="C11" s="90"/>
      <c r="D11" s="91"/>
      <c r="E11" s="12">
        <f>'Fane 4. Ikke-påvirkelige omk.'!G20</f>
        <v>1971188.2133844991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183</v>
      </c>
      <c r="C12" s="49"/>
      <c r="D12" s="50"/>
      <c r="E12" s="12">
        <f>'Fane 5. Individuelt eff.krav'!G10</f>
        <v>-1733861.1557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164</v>
      </c>
      <c r="C13" s="102"/>
      <c r="D13" s="103"/>
      <c r="E13" s="12">
        <f>'Fane 3. Korrigeret grundlag'!G22</f>
        <v>341207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129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130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168</v>
      </c>
      <c r="C16" s="87"/>
      <c r="D16" s="8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131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132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123</v>
      </c>
      <c r="C20" s="90"/>
      <c r="D20" s="91"/>
      <c r="E20" s="12">
        <f>SUM(E9,E11:E18)*(E19/100)</f>
        <v>1448445.3470841281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1035306.9149148886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973718.40948199725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174</v>
      </c>
      <c r="C23" s="97"/>
      <c r="D23" s="98"/>
      <c r="E23" s="18">
        <f>SUM(E9,E11:E18,E20)-SUM(E21:E22)</f>
        <v>82207725.57035169</v>
      </c>
      <c r="F23" s="19" t="s">
        <v>4</v>
      </c>
      <c r="G23" s="18">
        <f>E23</f>
        <v>82207725.57035169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-3802658.4144620821</v>
      </c>
      <c r="F25" s="19" t="s">
        <v>4</v>
      </c>
      <c r="G25" s="18">
        <f>E25</f>
        <v>-3802658.4144620821</v>
      </c>
      <c r="H25" s="19" t="s">
        <v>4</v>
      </c>
      <c r="I25" s="2"/>
    </row>
    <row r="26" spans="1:9" x14ac:dyDescent="0.25">
      <c r="A26" s="2"/>
      <c r="B26" s="99" t="s">
        <v>98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105</v>
      </c>
      <c r="C27" s="87"/>
      <c r="D27" s="88"/>
      <c r="E27" s="12">
        <f>'Fane 9. Korrektion af PL2016'!G11</f>
        <v>1005547.4499999993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99</v>
      </c>
      <c r="C28" s="87"/>
      <c r="D28" s="88"/>
      <c r="E28" s="12">
        <f>'Fane 9. Korrektion af PL2016'!G17</f>
        <v>-435559.52999999933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100</v>
      </c>
      <c r="C29" s="87"/>
      <c r="D29" s="88"/>
      <c r="E29" s="12">
        <f>'Fane 9. Korrektion af PL2016'!G23</f>
        <v>84896.28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101</v>
      </c>
      <c r="C30" s="87"/>
      <c r="D30" s="88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102</v>
      </c>
      <c r="C31" s="87"/>
      <c r="D31" s="88"/>
      <c r="E31" s="12">
        <f>'Fane 9. Korrektion af PL2016'!G35</f>
        <v>-722110.16000000015</v>
      </c>
      <c r="F31" s="9" t="s">
        <v>4</v>
      </c>
      <c r="G31" s="15"/>
      <c r="H31" s="14"/>
      <c r="I31" s="2"/>
    </row>
    <row r="32" spans="1:9" x14ac:dyDescent="0.25">
      <c r="A32" s="2"/>
      <c r="B32" s="92" t="s">
        <v>103</v>
      </c>
      <c r="C32" s="93"/>
      <c r="D32" s="94"/>
      <c r="E32" s="18">
        <f>SUM(E27:E31)</f>
        <v>-67225.960000000196</v>
      </c>
      <c r="F32" s="19" t="s">
        <v>4</v>
      </c>
      <c r="G32" s="18">
        <f>E32</f>
        <v>-67225.960000000196</v>
      </c>
      <c r="H32" s="19" t="s">
        <v>4</v>
      </c>
      <c r="I32" s="2"/>
    </row>
    <row r="33" spans="1:9" x14ac:dyDescent="0.25">
      <c r="A33" s="2"/>
      <c r="B33" s="99" t="s">
        <v>18</v>
      </c>
      <c r="C33" s="100"/>
      <c r="D33" s="100"/>
      <c r="E33" s="100"/>
      <c r="F33" s="100"/>
      <c r="G33" s="100"/>
      <c r="H33" s="101"/>
      <c r="I33" s="2"/>
    </row>
    <row r="34" spans="1:9" x14ac:dyDescent="0.25">
      <c r="A34" s="2"/>
      <c r="B34" s="92" t="s">
        <v>104</v>
      </c>
      <c r="C34" s="93"/>
      <c r="D34" s="94"/>
      <c r="E34" s="18">
        <f>'Fane 10. Kontrol af PL2016'!G36</f>
        <v>1232267.628114149</v>
      </c>
      <c r="F34" s="19" t="s">
        <v>4</v>
      </c>
      <c r="G34" s="18">
        <f>E34</f>
        <v>1232267.628114149</v>
      </c>
      <c r="H34" s="19" t="s">
        <v>4</v>
      </c>
      <c r="I34" s="2"/>
    </row>
    <row r="35" spans="1:9" x14ac:dyDescent="0.25">
      <c r="A35" s="2"/>
      <c r="B35" s="99" t="s">
        <v>62</v>
      </c>
      <c r="C35" s="100"/>
      <c r="D35" s="100"/>
      <c r="E35" s="100"/>
      <c r="F35" s="101"/>
      <c r="G35" s="21">
        <f>G23+G25+G32+G34</f>
        <v>79570108.824003756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106</v>
      </c>
      <c r="C9" s="87"/>
      <c r="D9" s="88"/>
      <c r="E9" s="8">
        <f>'Fane 2.1. Økonomisk ramme 2018'!G23-'Fane 2.1. Økonomisk ramme 2018'!E13*(1+0.0175)*(1-0.02-'Fane 5. Individuelt eff.krav'!G11/100)</f>
        <v>81874434.572751686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2018'!E16))*(1+'Fane 2.1. Økonomisk ramme 2018'!E19/100)</f>
        <v>32451405.149004161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164</v>
      </c>
      <c r="C11" s="59"/>
      <c r="D11" s="60"/>
      <c r="E11" s="12">
        <v>347178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1438878.2200231545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1012823.7210732623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979508.51414147043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174</v>
      </c>
      <c r="C15" s="97"/>
      <c r="D15" s="98"/>
      <c r="E15" s="18">
        <f>$E$9+$E$12-$E$13-$E$14+E11</f>
        <v>81668158.557560116</v>
      </c>
      <c r="F15" s="19" t="s">
        <v>4</v>
      </c>
      <c r="G15" s="18">
        <f>E15</f>
        <v>81668158.557560116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-3802658.4144620821</v>
      </c>
      <c r="F17" s="19" t="s">
        <v>4</v>
      </c>
      <c r="G17" s="18">
        <f>E17</f>
        <v>-3802658.4144620821</v>
      </c>
      <c r="H17" s="19" t="s">
        <v>4</v>
      </c>
      <c r="I17" s="2"/>
    </row>
    <row r="18" spans="1:9" x14ac:dyDescent="0.25">
      <c r="A18" s="2"/>
      <c r="B18" s="99" t="s">
        <v>107</v>
      </c>
      <c r="C18" s="100"/>
      <c r="D18" s="100"/>
      <c r="E18" s="100"/>
      <c r="F18" s="101"/>
      <c r="G18" s="21">
        <f>G15+G17</f>
        <v>77865500.143098027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141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110</v>
      </c>
      <c r="C9" s="90"/>
      <c r="D9" s="90"/>
      <c r="E9" s="90"/>
      <c r="F9" s="91"/>
      <c r="G9" s="27">
        <v>16341627.631041914</v>
      </c>
      <c r="H9" s="23" t="s">
        <v>4</v>
      </c>
      <c r="I9" s="2"/>
    </row>
    <row r="10" spans="1:9" x14ac:dyDescent="0.25">
      <c r="A10" s="2"/>
      <c r="B10" s="89" t="s">
        <v>111</v>
      </c>
      <c r="C10" s="90"/>
      <c r="D10" s="90"/>
      <c r="E10" s="90"/>
      <c r="F10" s="91"/>
      <c r="G10" s="27">
        <v>35926059.198608384</v>
      </c>
      <c r="H10" s="23" t="s">
        <v>4</v>
      </c>
      <c r="I10" s="2"/>
    </row>
    <row r="11" spans="1:9" x14ac:dyDescent="0.25">
      <c r="A11" s="2"/>
      <c r="B11" s="89" t="s">
        <v>138</v>
      </c>
      <c r="C11" s="90"/>
      <c r="D11" s="90"/>
      <c r="E11" s="90"/>
      <c r="F11" s="91"/>
      <c r="G11" s="27">
        <v>29922084.660329662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82189771.489979953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164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165</v>
      </c>
      <c r="C20" s="90"/>
      <c r="D20" s="90"/>
      <c r="E20" s="90"/>
      <c r="F20" s="91"/>
      <c r="G20" s="27">
        <v>341207</v>
      </c>
      <c r="H20" s="23" t="s">
        <v>4</v>
      </c>
      <c r="I20" s="2"/>
    </row>
    <row r="21" spans="1:9" x14ac:dyDescent="0.25">
      <c r="A21" s="2"/>
      <c r="B21" s="89" t="s">
        <v>166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4" t="s">
        <v>167</v>
      </c>
      <c r="C22" s="105"/>
      <c r="D22" s="105"/>
      <c r="E22" s="105"/>
      <c r="F22" s="106"/>
      <c r="G22" s="21">
        <f>SUM(G20:G21)</f>
        <v>341207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113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115</v>
      </c>
      <c r="C9" s="93"/>
      <c r="D9" s="9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154</v>
      </c>
      <c r="C10" s="109"/>
      <c r="D10" s="109"/>
      <c r="E10" s="56">
        <v>744416.42720000003</v>
      </c>
      <c r="F10" s="23" t="s">
        <v>4</v>
      </c>
      <c r="G10" s="27">
        <v>747686.87</v>
      </c>
      <c r="H10" s="23" t="s">
        <v>4</v>
      </c>
      <c r="I10" s="2"/>
    </row>
    <row r="11" spans="1:9" x14ac:dyDescent="0.25">
      <c r="A11" s="2"/>
      <c r="B11" s="108" t="s">
        <v>155</v>
      </c>
      <c r="C11" s="109"/>
      <c r="D11" s="109"/>
      <c r="E11" s="56">
        <v>415959.32519999996</v>
      </c>
      <c r="F11" s="23" t="s">
        <v>4</v>
      </c>
      <c r="G11" s="27">
        <v>468348.44</v>
      </c>
      <c r="H11" s="23" t="s">
        <v>4</v>
      </c>
      <c r="I11" s="2"/>
    </row>
    <row r="12" spans="1:9" x14ac:dyDescent="0.25">
      <c r="A12" s="2"/>
      <c r="B12" s="108" t="s">
        <v>156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157</v>
      </c>
      <c r="C13" s="109"/>
      <c r="D13" s="109"/>
      <c r="E13" s="56">
        <v>32398.416399999998</v>
      </c>
      <c r="F13" s="23" t="s">
        <v>4</v>
      </c>
      <c r="G13" s="27">
        <v>73693.37</v>
      </c>
      <c r="H13" s="23" t="s">
        <v>4</v>
      </c>
      <c r="I13" s="2"/>
    </row>
    <row r="14" spans="1:9" x14ac:dyDescent="0.25">
      <c r="A14" s="2"/>
      <c r="B14" s="108" t="s">
        <v>158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159</v>
      </c>
      <c r="C15" s="109"/>
      <c r="D15" s="109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160</v>
      </c>
      <c r="C16" s="109"/>
      <c r="D16" s="109"/>
      <c r="E16" s="56">
        <v>28354062.5678</v>
      </c>
      <c r="F16" s="23" t="s">
        <v>4</v>
      </c>
      <c r="G16" s="27">
        <v>29856478.77</v>
      </c>
      <c r="H16" s="23" t="s">
        <v>4</v>
      </c>
      <c r="I16" s="2"/>
    </row>
    <row r="17" spans="1:9" x14ac:dyDescent="0.25">
      <c r="A17" s="2"/>
      <c r="B17" s="108" t="s">
        <v>161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0" t="s">
        <v>162</v>
      </c>
      <c r="C18" s="110"/>
      <c r="D18" s="110"/>
      <c r="E18" s="56">
        <v>0</v>
      </c>
      <c r="F18" s="23" t="s">
        <v>163</v>
      </c>
      <c r="G18" s="27">
        <v>337915</v>
      </c>
      <c r="H18" s="23" t="s">
        <v>4</v>
      </c>
      <c r="I18" s="2"/>
    </row>
    <row r="19" spans="1:9" x14ac:dyDescent="0.25">
      <c r="A19" s="2"/>
      <c r="B19" s="99" t="s">
        <v>134</v>
      </c>
      <c r="C19" s="100"/>
      <c r="D19" s="100"/>
      <c r="E19" s="100"/>
      <c r="F19" s="101"/>
      <c r="G19" s="21">
        <f>SUM(G10:G18)-SUM(E10:E18)</f>
        <v>1937285.7133999988</v>
      </c>
      <c r="H19" s="22" t="s">
        <v>4</v>
      </c>
      <c r="I19" s="2"/>
    </row>
    <row r="20" spans="1:9" x14ac:dyDescent="0.25">
      <c r="A20" s="2"/>
      <c r="B20" s="99" t="s">
        <v>135</v>
      </c>
      <c r="C20" s="100"/>
      <c r="D20" s="100"/>
      <c r="E20" s="100"/>
      <c r="F20" s="101"/>
      <c r="G20" s="21">
        <f>G19*(1+'Fane 2.1. Økonomisk ramme 2018'!E19/100)</f>
        <v>1971188.2133844991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52608893.82965029</v>
      </c>
      <c r="H9" s="23" t="s">
        <v>4</v>
      </c>
      <c r="I9" s="2"/>
    </row>
    <row r="10" spans="1:9" x14ac:dyDescent="0.25">
      <c r="A10" s="2"/>
      <c r="B10" s="51" t="s">
        <v>183</v>
      </c>
      <c r="C10" s="49"/>
      <c r="D10" s="49"/>
      <c r="E10" s="49"/>
      <c r="F10" s="50"/>
      <c r="G10" s="12">
        <v>-1733861.1557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2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1035306.9149148886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2018'!E14,'Fane 2.1. Økonomisk ramme 2018'!E17))</f>
        <v>16682834.631041914</v>
      </c>
      <c r="H9" s="23" t="s">
        <v>4</v>
      </c>
      <c r="I9" s="2"/>
    </row>
    <row r="10" spans="1:9" x14ac:dyDescent="0.25">
      <c r="A10" s="2"/>
      <c r="B10" s="52" t="s">
        <v>182</v>
      </c>
      <c r="C10" s="53"/>
      <c r="D10" s="53"/>
      <c r="E10" s="53"/>
      <c r="F10" s="54"/>
      <c r="G10" s="12">
        <v>-333656.68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332705.77130370296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35926059.198608384</v>
      </c>
      <c r="H13" s="23" t="s">
        <v>4</v>
      </c>
      <c r="I13" s="2"/>
    </row>
    <row r="14" spans="1:9" x14ac:dyDescent="0.25">
      <c r="A14" s="2"/>
      <c r="B14" s="51" t="s">
        <v>184</v>
      </c>
      <c r="C14" s="49"/>
      <c r="D14" s="49"/>
      <c r="E14" s="49"/>
      <c r="F14" s="50"/>
      <c r="G14" s="12">
        <v>-333525.25570000004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641012.63817829429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973718.40948199725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-40330430</v>
      </c>
      <c r="H9" s="23" t="s">
        <v>4</v>
      </c>
      <c r="I9" s="2"/>
    </row>
    <row r="10" spans="1:9" x14ac:dyDescent="0.25">
      <c r="A10" s="2"/>
      <c r="B10" s="89" t="s">
        <v>120</v>
      </c>
      <c r="C10" s="90"/>
      <c r="D10" s="90"/>
      <c r="E10" s="90"/>
      <c r="F10" s="91"/>
      <c r="G10" s="27">
        <v>-28922454.756613754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-11407975.243386246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125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-3802658.4144620821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14542854</v>
      </c>
      <c r="F10" s="12">
        <f>E10/D10</f>
        <v>193904.72</v>
      </c>
      <c r="G10" s="23" t="s">
        <v>4</v>
      </c>
      <c r="H10" s="2"/>
    </row>
    <row r="11" spans="1:8" ht="26.25" x14ac:dyDescent="0.25">
      <c r="A11" s="2"/>
      <c r="B11" s="47" t="s">
        <v>147</v>
      </c>
      <c r="C11" s="41">
        <v>2016</v>
      </c>
      <c r="D11" s="28">
        <v>50</v>
      </c>
      <c r="E11" s="27">
        <v>3347514</v>
      </c>
      <c r="F11" s="12">
        <f t="shared" ref="F11:F17" si="0">E11/D11</f>
        <v>66950.28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82046</v>
      </c>
      <c r="F12" s="12">
        <f t="shared" si="0"/>
        <v>1093.9466666666667</v>
      </c>
      <c r="G12" s="23" t="s">
        <v>4</v>
      </c>
      <c r="H12" s="2"/>
    </row>
    <row r="13" spans="1:8" ht="26.25" x14ac:dyDescent="0.25">
      <c r="A13" s="2"/>
      <c r="B13" s="47" t="s">
        <v>149</v>
      </c>
      <c r="C13" s="41">
        <v>2016</v>
      </c>
      <c r="D13" s="28">
        <v>20</v>
      </c>
      <c r="E13" s="27">
        <v>1426506</v>
      </c>
      <c r="F13" s="12">
        <f t="shared" si="0"/>
        <v>71325.3</v>
      </c>
      <c r="G13" s="23" t="s">
        <v>4</v>
      </c>
      <c r="H13" s="2"/>
    </row>
    <row r="14" spans="1:8" ht="39" x14ac:dyDescent="0.25">
      <c r="A14" s="2"/>
      <c r="B14" s="47" t="s">
        <v>150</v>
      </c>
      <c r="C14" s="41">
        <v>2016</v>
      </c>
      <c r="D14" s="28">
        <v>75</v>
      </c>
      <c r="E14" s="27">
        <v>364512</v>
      </c>
      <c r="F14" s="12">
        <f t="shared" si="0"/>
        <v>4860.16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50</v>
      </c>
      <c r="E15" s="27">
        <v>14029600</v>
      </c>
      <c r="F15" s="12">
        <f t="shared" si="0"/>
        <v>280592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10</v>
      </c>
      <c r="E16" s="27">
        <v>369341</v>
      </c>
      <c r="F16" s="12">
        <f t="shared" si="0"/>
        <v>36934.1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5</v>
      </c>
      <c r="E17" s="27">
        <v>1183480</v>
      </c>
      <c r="F17" s="12">
        <f t="shared" si="0"/>
        <v>236696</v>
      </c>
      <c r="G17" s="23" t="s">
        <v>4</v>
      </c>
      <c r="H17" s="2"/>
    </row>
    <row r="18" spans="1:8" x14ac:dyDescent="0.25">
      <c r="A18" s="2"/>
      <c r="B18" s="99" t="s">
        <v>76</v>
      </c>
      <c r="C18" s="100"/>
      <c r="D18" s="100"/>
      <c r="E18" s="101"/>
      <c r="F18" s="21">
        <f>SUM(F10:F17)</f>
        <v>892356.5066666666</v>
      </c>
      <c r="G18" s="22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2017-10-13T15:45:19Z</dcterms:modified>
</cp:coreProperties>
</file>