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G16" i="19" l="1"/>
  <c r="E16" i="19"/>
  <c r="G11" i="7" l="1"/>
  <c r="E13" i="15" l="1"/>
  <c r="G13" i="9" l="1"/>
  <c r="G9" i="9"/>
  <c r="E18" i="19" l="1"/>
  <c r="E15" i="19"/>
  <c r="E13" i="19"/>
  <c r="E11" i="19"/>
  <c r="G13" i="10" l="1"/>
  <c r="G16" i="9" l="1"/>
  <c r="G12" i="9"/>
  <c r="E12" i="2"/>
  <c r="G11" i="10" l="1"/>
  <c r="F18" i="20"/>
  <c r="F19" i="20" s="1"/>
  <c r="E15" i="2" s="1"/>
  <c r="G20" i="19" l="1"/>
  <c r="G21" i="19" s="1"/>
  <c r="E11" i="2" s="1"/>
  <c r="F47" i="11" l="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G9" i="8" l="1"/>
  <c r="G12" i="8" s="1"/>
  <c r="E9" i="2"/>
  <c r="E15" i="13"/>
  <c r="F11" i="11"/>
  <c r="F4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<sst xmlns="http://schemas.openxmlformats.org/spreadsheetml/2006/main" count="415" uniqueCount="192">
  <si>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</si>
  <si>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</si>
  <si>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</si>
  <si>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</si>
  <si>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</si>
  <si>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</si>
  <si>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</si>
  <si>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</si>
  <si>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</si>
  <si>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</si>
  <si>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</si>
  <si>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</si>
  <si>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</si>
  <si>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</si>
  <si>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</si>
  <si>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</si>
  <si>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</si>
  <si>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</si>
  <si>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</si>
  <si>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</si>
  <si>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</si>
  <si>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</si>
  <si>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</si>
  <si>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</si>
  <si>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</si>
  <si>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</si>
  <si>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</si>
  <si>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</si>
  <si>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</si>
  <si>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</si>
  <si>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</si>
  <si>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</si>
  <si>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</si>
  <si>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</si>
  <si>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</si>
  <si>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</si>
  <si>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</si>
  <si>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</si>
  <si>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</si>
  <si>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</si>
  <si>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</si>
  <si>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</si>
  <si>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</si>
  <si>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</si>
  <si>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</si>
  <si>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</si>
  <si>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</si>
  <si>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</si>
  <si>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</si>
  <si>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</si>
  <si>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</si>
  <si>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</si>
  <si>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</si>
  <si>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</si>
  <si>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</si>
  <si>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</si>
  <si>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</si>
  <si>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</si>
  <si>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</si>
  <si>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</si>
  <si>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</si>
  <si>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</si>
  <si>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</si>
  <si>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</si>
  <si>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</si>
  <si>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</si>
  <si>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</si>
  <si>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</si>
  <si>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</si>
  <si>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</si>
  <si>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</si>
  <si>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</si>
  <si>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</si>
  <si>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</si>
  <si>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</si>
  <si>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</si>
  <si>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</si>
  <si>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</si>
  <si>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</si>
  <si>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</si>
  <si>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</si>
  <si>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</si>
  <si>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</si>
  <si>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</si>
  <si>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</si>
  <si>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</si>
  <si>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</si>
  <si>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</si>
  <si>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</si>
  <si>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</si>
  <si>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</si>
  <si>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</si>
  <si>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</si>
  <si>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</si>
  <si>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</si>
  <si>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</si>
  <si>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</si>
  <si>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</si>
  <si>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</si>
  <si>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</si>
  <si>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</si>
  <si>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</si>
  <si>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</si>
  <si>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</si>
  <si>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</si>
  <si>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</si>
  <si>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</si>
  <si>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</si>
  <si>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</si>
  <si>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</si>
  <si>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</si>
  <si>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</si>
  <si>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</si>
  <si>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</si>
  <si>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</si>
  <si>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</si>
  <si>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</si>
  <si>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</si>
  <si>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</si>
  <si>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</si>
  <si>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</si>
  <si>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</si>
  <si>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</si>
  <si>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</si>
  <si>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</si>
  <si>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</si>
  <si>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</si>
  <si>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</si>
  <si>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</si>
  <si>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</si>
  <si>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</si>
  <si>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</si>
  <si>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</si>
  <si>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</si>
  <si>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</si>
  <si>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</si>
  <si>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</si>
  <si>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</si>
  <si>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</si>
  <si>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</si>
  <si>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</si>
  <si>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</si>
  <si>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</si>
  <si>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</si>
  <si>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</si>
  <si>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</si>
  <si>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</si>
  <si>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personbil</t>
  </si>
  <si>
    <t>Efterklaringstanke, Mek/El</t>
  </si>
  <si>
    <t>Indløb med riste, Konstruktioner</t>
  </si>
  <si>
    <t>Indløb med riste, Mek/EL</t>
  </si>
  <si>
    <t>Indløb med riste, SRO</t>
  </si>
  <si>
    <t>Efterbehandlingsanlæg (sandfilter), Konstruktioner</t>
  </si>
  <si>
    <t>Efterbehandlingsanlæg (sandfilter), Mek/EL</t>
  </si>
  <si>
    <t>Efterbehandlingsanlæg (sandfilter), SRO</t>
  </si>
  <si>
    <t>Pumpestationer i brønde (&lt; 6,25 m2), SRO</t>
  </si>
  <si>
    <t>Jordbassin Klasse A</t>
  </si>
  <si>
    <t>Ledningsnet ≤ Ø 200 mm</t>
  </si>
  <si>
    <t>Værksteder, garager</t>
  </si>
  <si>
    <t>Beluftningstanke, SRO</t>
  </si>
  <si>
    <t>Ø 500 mm &lt; Ledningsnet ≤ Ø 800 mm</t>
  </si>
  <si>
    <t>Brønde</t>
  </si>
  <si>
    <t>Ø 200 mm &lt; Ledningsnet ≤ Ø 500 mm</t>
  </si>
  <si>
    <t>Pumpestationer i brønde (&lt; 6,25 m2),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</si>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</sst>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181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1970497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2145000</v>
      </c>
      <c r="H10" s="23" t="s">
        <v>4</v>
      </c>
      <c r="I10" s="2"/>
    </row>
    <row r="11" spans="1:9" x14ac:dyDescent="0.25">
      <c r="A11" s="2"/>
      <c r="B11" s="91" t="s">
        <v>182</v>
      </c>
      <c r="C11" s="92"/>
      <c r="D11" s="92"/>
      <c r="E11" s="92"/>
      <c r="F11" s="93"/>
      <c r="G11" s="21">
        <f>G9-G10</f>
        <v>-174503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183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1242615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1250000</v>
      </c>
      <c r="H16" s="23" t="s">
        <v>4</v>
      </c>
      <c r="I16" s="2"/>
    </row>
    <row r="17" spans="1:9" x14ac:dyDescent="0.25">
      <c r="A17" s="2"/>
      <c r="B17" s="91" t="s">
        <v>183</v>
      </c>
      <c r="C17" s="92"/>
      <c r="D17" s="92"/>
      <c r="E17" s="92"/>
      <c r="F17" s="93"/>
      <c r="G17" s="21">
        <f>G15-G16</f>
        <v>-7385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184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30000</v>
      </c>
      <c r="H22" s="23" t="s">
        <v>4</v>
      </c>
      <c r="I22" s="2"/>
    </row>
    <row r="23" spans="1:9" x14ac:dyDescent="0.25">
      <c r="A23" s="2"/>
      <c r="B23" s="91" t="s">
        <v>184</v>
      </c>
      <c r="C23" s="92"/>
      <c r="D23" s="92"/>
      <c r="E23" s="92"/>
      <c r="F23" s="93"/>
      <c r="G23" s="21">
        <f>G21-G22</f>
        <v>-30000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185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124465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740000</v>
      </c>
      <c r="H28" s="23" t="s">
        <v>4</v>
      </c>
      <c r="I28" s="2"/>
    </row>
    <row r="29" spans="1:9" ht="15" customHeight="1" x14ac:dyDescent="0.25">
      <c r="A29" s="2"/>
      <c r="B29" s="101" t="s">
        <v>185</v>
      </c>
      <c r="C29" s="102"/>
      <c r="D29" s="102"/>
      <c r="E29" s="102"/>
      <c r="F29" s="103"/>
      <c r="G29" s="21">
        <f>G27-G28</f>
        <v>-615535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2016'!F49</f>
        <v>2866939.971466667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762800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2104139.971466667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52176388.948512688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27051900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3077889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-518367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2566708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32178130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2912624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80000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2992624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-8948796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-29468839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-6685772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-1539785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-46643192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-11472438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47301718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3198004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50499722</v>
      </c>
      <c r="F35" s="38" t="s">
        <v>4</v>
      </c>
      <c r="G35" s="18">
        <f>-E35</f>
        <v>-50499722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1676666.9485126883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179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191</v>
      </c>
      <c r="C16" s="86"/>
      <c r="D16" s="86"/>
      <c r="E16" s="87"/>
      <c r="F16" s="114" t="s">
        <v>175</v>
      </c>
      <c r="G16" s="114"/>
      <c r="H16" s="2"/>
    </row>
    <row r="17" spans="1:8" x14ac:dyDescent="0.25">
      <c r="A17" s="2"/>
      <c r="B17" s="95" t="s">
        <v>187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176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177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186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52619060.926958054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19239951.763931859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omk.'!G21</f>
        <v>-746082.56048975117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189</v>
      </c>
      <c r="C12" s="49"/>
      <c r="D12" s="50"/>
      <c r="E12" s="12">
        <f>'Fane 5. Individuelt eff.krav'!G10</f>
        <v>-379018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174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901144.30641319533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4844.851663147555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609665.99192132265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180</v>
      </c>
      <c r="C22" s="97"/>
      <c r="D22" s="98"/>
      <c r="E22" s="18">
        <f>SUM(E9,E11:E17,E19)-SUM(E20:E21)</f>
        <v>51780593.829297028</v>
      </c>
      <c r="F22" s="19" t="s">
        <v>4</v>
      </c>
      <c r="G22" s="18">
        <f>E22</f>
        <v>51780593.829297028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-174503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-7385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-30000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-615535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2104139.971466667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1276716.971466667</v>
      </c>
      <c r="F31" s="19" t="s">
        <v>4</v>
      </c>
      <c r="G31" s="18">
        <f>E31</f>
        <v>1276716.971466667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1676666.9485126883</v>
      </c>
      <c r="F33" s="19" t="s">
        <v>4</v>
      </c>
      <c r="G33" s="18">
        <f>E33</f>
        <v>1676666.9485126883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54733977.749276385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51780593.829297028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18817511.914502345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906160.39201269811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4839.4182139803852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609042.99276994623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180</v>
      </c>
      <c r="C14" s="97"/>
      <c r="D14" s="98"/>
      <c r="E14" s="18">
        <f>$E$9+$E$11-$E$12-$E$13</f>
        <v>52072871.810325801</v>
      </c>
      <c r="F14" s="19" t="s">
        <v>4</v>
      </c>
      <c r="G14" s="18">
        <f>E14</f>
        <v>52072871.810325801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52072871.810325801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6689761.2848035982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26689347.8782226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f>19071139*0.9962*1.0127</f>
        <v>19239951.763931859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52619060.926958054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164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165</v>
      </c>
      <c r="C11" s="106"/>
      <c r="D11" s="106"/>
      <c r="E11" s="56">
        <f>172719*0.9962</f>
        <v>172062.6678</v>
      </c>
      <c r="F11" s="23" t="s">
        <v>4</v>
      </c>
      <c r="G11" s="27">
        <v>215500</v>
      </c>
      <c r="H11" s="23" t="s">
        <v>4</v>
      </c>
      <c r="I11" s="2"/>
    </row>
    <row r="12" spans="1:9" x14ac:dyDescent="0.25">
      <c r="A12" s="2"/>
      <c r="B12" s="105" t="s">
        <v>166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167</v>
      </c>
      <c r="C13" s="106"/>
      <c r="D13" s="106"/>
      <c r="E13" s="56">
        <f>16261.5*0.9962</f>
        <v>16199.7063</v>
      </c>
      <c r="F13" s="23" t="s">
        <v>4</v>
      </c>
      <c r="G13" s="27">
        <v>21445</v>
      </c>
      <c r="H13" s="23" t="s">
        <v>4</v>
      </c>
      <c r="I13" s="2"/>
    </row>
    <row r="14" spans="1:9" x14ac:dyDescent="0.25">
      <c r="A14" s="2"/>
      <c r="B14" s="105" t="s">
        <v>168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169</v>
      </c>
      <c r="C15" s="106"/>
      <c r="D15" s="106"/>
      <c r="E15" s="56">
        <f>653554*0.9962</f>
        <v>651070.49479999999</v>
      </c>
      <c r="F15" s="23" t="s">
        <v>4</v>
      </c>
      <c r="G15" s="27">
        <v>391999</v>
      </c>
      <c r="H15" s="23" t="s">
        <v>4</v>
      </c>
      <c r="I15" s="2"/>
    </row>
    <row r="16" spans="1:9" x14ac:dyDescent="0.25">
      <c r="A16" s="2"/>
      <c r="B16" s="105" t="s">
        <v>170</v>
      </c>
      <c r="C16" s="106"/>
      <c r="D16" s="106"/>
      <c r="E16" s="56">
        <f>18200000*0.9962</f>
        <v>18130840</v>
      </c>
      <c r="F16" s="23" t="s">
        <v>4</v>
      </c>
      <c r="G16" s="27">
        <f>9872.5+17500000</f>
        <v>17509872.5</v>
      </c>
      <c r="H16" s="23" t="s">
        <v>4</v>
      </c>
      <c r="I16" s="2"/>
    </row>
    <row r="17" spans="1:9" x14ac:dyDescent="0.25">
      <c r="A17" s="2"/>
      <c r="B17" s="105" t="s">
        <v>171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07" t="s">
        <v>172</v>
      </c>
      <c r="C18" s="107"/>
      <c r="D18" s="107"/>
      <c r="E18" s="56">
        <f>28604*0.9962</f>
        <v>28495.304799999998</v>
      </c>
      <c r="F18" s="23" t="s">
        <v>4</v>
      </c>
      <c r="G18" s="27">
        <v>124465</v>
      </c>
      <c r="H18" s="23" t="s">
        <v>4</v>
      </c>
      <c r="I18" s="2"/>
    </row>
    <row r="19" spans="1:9" ht="15.75" customHeight="1" x14ac:dyDescent="0.25">
      <c r="A19" s="2"/>
      <c r="B19" s="107" t="s">
        <v>173</v>
      </c>
      <c r="C19" s="107"/>
      <c r="D19" s="107"/>
      <c r="E19" s="56">
        <v>0</v>
      </c>
      <c r="F19" s="23" t="s">
        <v>4</v>
      </c>
      <c r="G19" s="27">
        <v>2136</v>
      </c>
      <c r="H19" s="23" t="s">
        <v>4</v>
      </c>
      <c r="I19" s="2"/>
    </row>
    <row r="20" spans="1:9" x14ac:dyDescent="0.25">
      <c r="A20" s="2"/>
      <c r="B20" s="91" t="s">
        <v>134</v>
      </c>
      <c r="C20" s="92"/>
      <c r="D20" s="92"/>
      <c r="E20" s="92"/>
      <c r="F20" s="93"/>
      <c r="G20" s="21">
        <f>SUM(G10:G19)-SUM(E10:E19)</f>
        <v>-733250.67370000109</v>
      </c>
      <c r="H20" s="22" t="s">
        <v>4</v>
      </c>
      <c r="I20" s="2"/>
    </row>
    <row r="21" spans="1:9" x14ac:dyDescent="0.25">
      <c r="A21" s="2"/>
      <c r="B21" s="91" t="s">
        <v>135</v>
      </c>
      <c r="C21" s="92"/>
      <c r="D21" s="92"/>
      <c r="E21" s="92"/>
      <c r="F21" s="93"/>
      <c r="G21" s="21">
        <f>G20*(1+'Fane 2.1. Økonomisk ramme 2018'!E18/100)</f>
        <v>-746082.56048975117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33379109.163026195</v>
      </c>
      <c r="H9" s="23" t="s">
        <v>4</v>
      </c>
      <c r="I9" s="2"/>
    </row>
    <row r="10" spans="1:9" x14ac:dyDescent="0.25">
      <c r="A10" s="2"/>
      <c r="B10" s="51" t="s">
        <v>189</v>
      </c>
      <c r="C10" s="49"/>
      <c r="D10" s="49"/>
      <c r="E10" s="49"/>
      <c r="F10" s="50"/>
      <c r="G10" s="12">
        <v>-379018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1.4428823703982E-2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4844.851663147555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6689761.2848035982</v>
      </c>
      <c r="H9" s="23" t="s">
        <v>4</v>
      </c>
      <c r="I9" s="2"/>
    </row>
    <row r="10" spans="1:9" x14ac:dyDescent="0.25">
      <c r="A10" s="2"/>
      <c r="B10" s="52" t="s">
        <v>188</v>
      </c>
      <c r="C10" s="53"/>
      <c r="D10" s="53"/>
      <c r="E10" s="53"/>
      <c r="F10" s="54"/>
      <c r="G10" s="12">
        <v>-133795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133413.91389575324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26689347.8782226</v>
      </c>
      <c r="H13" s="23" t="s">
        <v>4</v>
      </c>
      <c r="I13" s="2"/>
    </row>
    <row r="14" spans="1:9" x14ac:dyDescent="0.25">
      <c r="A14" s="2"/>
      <c r="B14" s="51" t="s">
        <v>190</v>
      </c>
      <c r="C14" s="49"/>
      <c r="D14" s="49"/>
      <c r="E14" s="49"/>
      <c r="F14" s="50"/>
      <c r="G14" s="12">
        <v>-245223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476252.07802556944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609665.99192132265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2717085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2717085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75626.53</v>
      </c>
      <c r="F10" s="12">
        <f>E10/D10</f>
        <v>15125.306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5</v>
      </c>
      <c r="E11" s="27">
        <v>372906.03</v>
      </c>
      <c r="F11" s="12">
        <f t="shared" ref="F11:F48" si="0">E11/D11</f>
        <v>74581.206000000006</v>
      </c>
      <c r="G11" s="23" t="s">
        <v>4</v>
      </c>
      <c r="H11" s="2"/>
    </row>
    <row r="12" spans="1:8" x14ac:dyDescent="0.25">
      <c r="A12" s="2"/>
      <c r="B12" s="47" t="s">
        <v>146</v>
      </c>
      <c r="C12" s="41">
        <v>2016</v>
      </c>
      <c r="D12" s="28">
        <v>5</v>
      </c>
      <c r="E12" s="27">
        <v>197363.99</v>
      </c>
      <c r="F12" s="12">
        <f t="shared" si="0"/>
        <v>39472.797999999995</v>
      </c>
      <c r="G12" s="23" t="s">
        <v>4</v>
      </c>
      <c r="H12" s="2"/>
    </row>
    <row r="13" spans="1:8" x14ac:dyDescent="0.25">
      <c r="A13" s="2"/>
      <c r="B13" s="47" t="s">
        <v>146</v>
      </c>
      <c r="C13" s="41">
        <v>2016</v>
      </c>
      <c r="D13" s="28">
        <v>5</v>
      </c>
      <c r="E13" s="27">
        <v>391297.39</v>
      </c>
      <c r="F13" s="12">
        <f t="shared" si="0"/>
        <v>78259.478000000003</v>
      </c>
      <c r="G13" s="23" t="s">
        <v>4</v>
      </c>
      <c r="H13" s="2"/>
    </row>
    <row r="14" spans="1:8" x14ac:dyDescent="0.25">
      <c r="A14" s="2"/>
      <c r="B14" s="47" t="s">
        <v>146</v>
      </c>
      <c r="C14" s="41">
        <v>2016</v>
      </c>
      <c r="D14" s="28">
        <v>5</v>
      </c>
      <c r="E14" s="27">
        <v>35000</v>
      </c>
      <c r="F14" s="12">
        <f t="shared" si="0"/>
        <v>7000</v>
      </c>
      <c r="G14" s="23" t="s">
        <v>4</v>
      </c>
      <c r="H14" s="2"/>
    </row>
    <row r="15" spans="1:8" x14ac:dyDescent="0.25">
      <c r="A15" s="2"/>
      <c r="B15" s="47" t="s">
        <v>147</v>
      </c>
      <c r="C15" s="41">
        <v>2016</v>
      </c>
      <c r="D15" s="28">
        <v>5</v>
      </c>
      <c r="E15" s="27">
        <v>60000</v>
      </c>
      <c r="F15" s="12">
        <f t="shared" si="0"/>
        <v>12000</v>
      </c>
      <c r="G15" s="23" t="s">
        <v>4</v>
      </c>
      <c r="H15" s="2"/>
    </row>
    <row r="16" spans="1:8" x14ac:dyDescent="0.25">
      <c r="A16" s="2"/>
      <c r="B16" s="47" t="s">
        <v>148</v>
      </c>
      <c r="C16" s="41">
        <v>2016</v>
      </c>
      <c r="D16" s="28">
        <v>20</v>
      </c>
      <c r="E16" s="27">
        <v>297564.55</v>
      </c>
      <c r="F16" s="12">
        <f t="shared" si="0"/>
        <v>14878.227499999999</v>
      </c>
      <c r="G16" s="23" t="s">
        <v>4</v>
      </c>
      <c r="H16" s="2"/>
    </row>
    <row r="17" spans="1:8" x14ac:dyDescent="0.25">
      <c r="A17" s="2"/>
      <c r="B17" s="47" t="s">
        <v>149</v>
      </c>
      <c r="C17" s="41">
        <v>2016</v>
      </c>
      <c r="D17" s="28">
        <v>60</v>
      </c>
      <c r="E17" s="27">
        <v>1247521.45</v>
      </c>
      <c r="F17" s="12">
        <f t="shared" si="0"/>
        <v>20792.024166666666</v>
      </c>
      <c r="G17" s="23" t="s">
        <v>4</v>
      </c>
      <c r="H17" s="2"/>
    </row>
    <row r="18" spans="1:8" x14ac:dyDescent="0.25">
      <c r="A18" s="2"/>
      <c r="B18" s="47" t="s">
        <v>150</v>
      </c>
      <c r="C18" s="41">
        <v>2016</v>
      </c>
      <c r="D18" s="28">
        <v>20</v>
      </c>
      <c r="E18" s="27">
        <v>1247521.45</v>
      </c>
      <c r="F18" s="12">
        <f t="shared" si="0"/>
        <v>62376.072499999995</v>
      </c>
      <c r="G18" s="23" t="s">
        <v>4</v>
      </c>
      <c r="H18" s="2"/>
    </row>
    <row r="19" spans="1:8" x14ac:dyDescent="0.25">
      <c r="A19" s="2"/>
      <c r="B19" s="47" t="s">
        <v>151</v>
      </c>
      <c r="C19" s="41">
        <v>2016</v>
      </c>
      <c r="D19" s="28">
        <v>10</v>
      </c>
      <c r="E19" s="27">
        <v>1247521.45</v>
      </c>
      <c r="F19" s="12">
        <f t="shared" si="0"/>
        <v>124752.14499999999</v>
      </c>
      <c r="G19" s="23" t="s">
        <v>4</v>
      </c>
      <c r="H19" s="2"/>
    </row>
    <row r="20" spans="1:8" x14ac:dyDescent="0.25">
      <c r="A20" s="2"/>
      <c r="B20" s="47" t="s">
        <v>149</v>
      </c>
      <c r="C20" s="41">
        <v>2016</v>
      </c>
      <c r="D20" s="28">
        <v>60</v>
      </c>
      <c r="E20" s="27">
        <v>341385</v>
      </c>
      <c r="F20" s="12">
        <f t="shared" si="0"/>
        <v>5689.75</v>
      </c>
      <c r="G20" s="23" t="s">
        <v>4</v>
      </c>
      <c r="H20" s="2"/>
    </row>
    <row r="21" spans="1:8" x14ac:dyDescent="0.25">
      <c r="A21" s="2"/>
      <c r="B21" s="47" t="s">
        <v>150</v>
      </c>
      <c r="C21" s="41">
        <v>2016</v>
      </c>
      <c r="D21" s="28">
        <v>20</v>
      </c>
      <c r="E21" s="27">
        <v>341385</v>
      </c>
      <c r="F21" s="12">
        <f t="shared" si="0"/>
        <v>17069.25</v>
      </c>
      <c r="G21" s="23" t="s">
        <v>4</v>
      </c>
      <c r="H21" s="2"/>
    </row>
    <row r="22" spans="1:8" x14ac:dyDescent="0.25">
      <c r="A22" s="2"/>
      <c r="B22" s="47" t="s">
        <v>151</v>
      </c>
      <c r="C22" s="41">
        <v>2016</v>
      </c>
      <c r="D22" s="28">
        <v>10</v>
      </c>
      <c r="E22" s="27">
        <v>341385</v>
      </c>
      <c r="F22" s="12">
        <f t="shared" si="0"/>
        <v>34138.5</v>
      </c>
      <c r="G22" s="23" t="s">
        <v>4</v>
      </c>
      <c r="H22" s="2"/>
    </row>
    <row r="23" spans="1:8" ht="26.25" x14ac:dyDescent="0.25">
      <c r="A23" s="2"/>
      <c r="B23" s="47" t="s">
        <v>152</v>
      </c>
      <c r="C23" s="41">
        <v>2016</v>
      </c>
      <c r="D23" s="28">
        <v>60</v>
      </c>
      <c r="E23" s="27">
        <v>1048599.7</v>
      </c>
      <c r="F23" s="12">
        <f t="shared" si="0"/>
        <v>17476.661666666667</v>
      </c>
      <c r="G23" s="23" t="s">
        <v>4</v>
      </c>
      <c r="H23" s="2"/>
    </row>
    <row r="24" spans="1:8" x14ac:dyDescent="0.25">
      <c r="A24" s="2"/>
      <c r="B24" s="47" t="s">
        <v>153</v>
      </c>
      <c r="C24" s="41">
        <v>2016</v>
      </c>
      <c r="D24" s="28">
        <v>20</v>
      </c>
      <c r="E24" s="27">
        <v>1048599.7</v>
      </c>
      <c r="F24" s="12">
        <f t="shared" si="0"/>
        <v>52429.985000000001</v>
      </c>
      <c r="G24" s="23" t="s">
        <v>4</v>
      </c>
      <c r="H24" s="2"/>
    </row>
    <row r="25" spans="1:8" ht="26.25" x14ac:dyDescent="0.25">
      <c r="A25" s="2"/>
      <c r="B25" s="47" t="s">
        <v>152</v>
      </c>
      <c r="C25" s="41">
        <v>2016</v>
      </c>
      <c r="D25" s="28">
        <v>60</v>
      </c>
      <c r="E25" s="27">
        <v>1888424.8</v>
      </c>
      <c r="F25" s="12">
        <f t="shared" si="0"/>
        <v>31473.746666666666</v>
      </c>
      <c r="G25" s="23" t="s">
        <v>4</v>
      </c>
      <c r="H25" s="2"/>
    </row>
    <row r="26" spans="1:8" x14ac:dyDescent="0.25">
      <c r="A26" s="2"/>
      <c r="B26" s="47" t="s">
        <v>153</v>
      </c>
      <c r="C26" s="41">
        <v>2016</v>
      </c>
      <c r="D26" s="28">
        <v>20</v>
      </c>
      <c r="E26" s="27">
        <v>1888424.8</v>
      </c>
      <c r="F26" s="12">
        <f t="shared" si="0"/>
        <v>94421.24</v>
      </c>
      <c r="G26" s="23" t="s">
        <v>4</v>
      </c>
      <c r="H26" s="2"/>
    </row>
    <row r="27" spans="1:8" x14ac:dyDescent="0.25">
      <c r="A27" s="2"/>
      <c r="B27" s="47" t="s">
        <v>154</v>
      </c>
      <c r="C27" s="41">
        <v>2016</v>
      </c>
      <c r="D27" s="28">
        <v>10</v>
      </c>
      <c r="E27" s="27">
        <v>1888424.8</v>
      </c>
      <c r="F27" s="12">
        <f t="shared" si="0"/>
        <v>188842.48</v>
      </c>
      <c r="G27" s="23" t="s">
        <v>4</v>
      </c>
      <c r="H27" s="2"/>
    </row>
    <row r="28" spans="1:8" ht="26.25" x14ac:dyDescent="0.25">
      <c r="A28" s="2"/>
      <c r="B28" s="47" t="s">
        <v>152</v>
      </c>
      <c r="C28" s="41">
        <v>2016</v>
      </c>
      <c r="D28" s="28">
        <v>60</v>
      </c>
      <c r="E28" s="27">
        <v>8747839.2699999996</v>
      </c>
      <c r="F28" s="12">
        <f t="shared" si="0"/>
        <v>145797.32116666666</v>
      </c>
      <c r="G28" s="23" t="s">
        <v>4</v>
      </c>
      <c r="H28" s="2"/>
    </row>
    <row r="29" spans="1:8" x14ac:dyDescent="0.25">
      <c r="A29" s="2"/>
      <c r="B29" s="47" t="s">
        <v>153</v>
      </c>
      <c r="C29" s="41">
        <v>2016</v>
      </c>
      <c r="D29" s="28">
        <v>20</v>
      </c>
      <c r="E29" s="27">
        <v>8747839.2699999996</v>
      </c>
      <c r="F29" s="12">
        <f t="shared" si="0"/>
        <v>437391.96349999995</v>
      </c>
      <c r="G29" s="23" t="s">
        <v>4</v>
      </c>
      <c r="H29" s="2"/>
    </row>
    <row r="30" spans="1:8" x14ac:dyDescent="0.25">
      <c r="A30" s="2"/>
      <c r="B30" s="47" t="s">
        <v>154</v>
      </c>
      <c r="C30" s="41">
        <v>2016</v>
      </c>
      <c r="D30" s="28">
        <v>10</v>
      </c>
      <c r="E30" s="27">
        <v>8747839.2699999996</v>
      </c>
      <c r="F30" s="12">
        <f t="shared" si="0"/>
        <v>874783.92699999991</v>
      </c>
      <c r="G30" s="23" t="s">
        <v>4</v>
      </c>
      <c r="H30" s="2"/>
    </row>
    <row r="31" spans="1:8" x14ac:dyDescent="0.25">
      <c r="A31" s="2"/>
      <c r="B31" s="47" t="s">
        <v>155</v>
      </c>
      <c r="C31" s="41">
        <v>2016</v>
      </c>
      <c r="D31" s="28">
        <v>10</v>
      </c>
      <c r="E31" s="27">
        <v>63938.29</v>
      </c>
      <c r="F31" s="12">
        <f t="shared" si="0"/>
        <v>6393.8289999999997</v>
      </c>
      <c r="G31" s="23" t="s">
        <v>4</v>
      </c>
      <c r="H31" s="2"/>
    </row>
    <row r="32" spans="1:8" x14ac:dyDescent="0.25">
      <c r="A32" s="2"/>
      <c r="B32" s="47" t="s">
        <v>146</v>
      </c>
      <c r="C32" s="41">
        <v>2016</v>
      </c>
      <c r="D32" s="28">
        <v>5</v>
      </c>
      <c r="E32" s="27">
        <v>371955.69</v>
      </c>
      <c r="F32" s="12">
        <f t="shared" si="0"/>
        <v>74391.138000000006</v>
      </c>
      <c r="G32" s="23" t="s">
        <v>4</v>
      </c>
      <c r="H32" s="2"/>
    </row>
    <row r="33" spans="1:8" x14ac:dyDescent="0.25">
      <c r="A33" s="2"/>
      <c r="B33" s="47" t="s">
        <v>156</v>
      </c>
      <c r="C33" s="41">
        <v>2016</v>
      </c>
      <c r="D33" s="28">
        <v>50</v>
      </c>
      <c r="E33" s="27">
        <v>5240815.1900000004</v>
      </c>
      <c r="F33" s="12">
        <f t="shared" si="0"/>
        <v>104816.30380000001</v>
      </c>
      <c r="G33" s="23" t="s">
        <v>4</v>
      </c>
      <c r="H33" s="2"/>
    </row>
    <row r="34" spans="1:8" x14ac:dyDescent="0.25">
      <c r="A34" s="2"/>
      <c r="B34" s="47" t="s">
        <v>157</v>
      </c>
      <c r="C34" s="41">
        <v>2016</v>
      </c>
      <c r="D34" s="28">
        <v>75</v>
      </c>
      <c r="E34" s="27">
        <v>36069.78</v>
      </c>
      <c r="F34" s="12">
        <f t="shared" si="0"/>
        <v>480.93039999999996</v>
      </c>
      <c r="G34" s="23" t="s">
        <v>4</v>
      </c>
      <c r="H34" s="2"/>
    </row>
    <row r="35" spans="1:8" x14ac:dyDescent="0.25">
      <c r="A35" s="2"/>
      <c r="B35" s="47" t="s">
        <v>157</v>
      </c>
      <c r="C35" s="41">
        <v>2016</v>
      </c>
      <c r="D35" s="28">
        <v>75</v>
      </c>
      <c r="E35" s="27">
        <v>1393814.38</v>
      </c>
      <c r="F35" s="12">
        <f t="shared" si="0"/>
        <v>18584.191733333333</v>
      </c>
      <c r="G35" s="23" t="s">
        <v>4</v>
      </c>
      <c r="H35" s="2"/>
    </row>
    <row r="36" spans="1:8" x14ac:dyDescent="0.25">
      <c r="A36" s="2"/>
      <c r="B36" s="47" t="s">
        <v>157</v>
      </c>
      <c r="C36" s="41">
        <v>2016</v>
      </c>
      <c r="D36" s="28">
        <v>75</v>
      </c>
      <c r="E36" s="27">
        <v>545975.16</v>
      </c>
      <c r="F36" s="12">
        <f t="shared" si="0"/>
        <v>7279.6688000000004</v>
      </c>
      <c r="G36" s="23" t="s">
        <v>4</v>
      </c>
      <c r="H36" s="2"/>
    </row>
    <row r="37" spans="1:8" x14ac:dyDescent="0.25">
      <c r="A37" s="2"/>
      <c r="B37" s="47" t="s">
        <v>157</v>
      </c>
      <c r="C37" s="41">
        <v>2016</v>
      </c>
      <c r="D37" s="28">
        <v>75</v>
      </c>
      <c r="E37" s="27">
        <v>407347.86</v>
      </c>
      <c r="F37" s="12">
        <f t="shared" si="0"/>
        <v>5431.3047999999999</v>
      </c>
      <c r="G37" s="23" t="s">
        <v>4</v>
      </c>
      <c r="H37" s="2"/>
    </row>
    <row r="38" spans="1:8" x14ac:dyDescent="0.25">
      <c r="A38" s="2"/>
      <c r="B38" s="47" t="s">
        <v>158</v>
      </c>
      <c r="C38" s="41">
        <v>2016</v>
      </c>
      <c r="D38" s="28">
        <v>20</v>
      </c>
      <c r="E38" s="27">
        <v>327325.19</v>
      </c>
      <c r="F38" s="12">
        <f t="shared" si="0"/>
        <v>16366.2595</v>
      </c>
      <c r="G38" s="23" t="s">
        <v>4</v>
      </c>
      <c r="H38" s="2"/>
    </row>
    <row r="39" spans="1:8" x14ac:dyDescent="0.25">
      <c r="A39" s="2"/>
      <c r="B39" s="47" t="s">
        <v>159</v>
      </c>
      <c r="C39" s="41">
        <v>2016</v>
      </c>
      <c r="D39" s="28">
        <v>10</v>
      </c>
      <c r="E39" s="27">
        <v>160698.47</v>
      </c>
      <c r="F39" s="12">
        <f t="shared" si="0"/>
        <v>16069.847</v>
      </c>
      <c r="G39" s="23" t="s">
        <v>4</v>
      </c>
      <c r="H39" s="2"/>
    </row>
    <row r="40" spans="1:8" x14ac:dyDescent="0.25">
      <c r="A40" s="2"/>
      <c r="B40" s="47" t="s">
        <v>158</v>
      </c>
      <c r="C40" s="41">
        <v>2016</v>
      </c>
      <c r="D40" s="28">
        <v>20</v>
      </c>
      <c r="E40" s="27">
        <v>994147.3</v>
      </c>
      <c r="F40" s="12">
        <f t="shared" si="0"/>
        <v>49707.365000000005</v>
      </c>
      <c r="G40" s="23" t="s">
        <v>4</v>
      </c>
      <c r="H40" s="2"/>
    </row>
    <row r="41" spans="1:8" x14ac:dyDescent="0.25">
      <c r="A41" s="2"/>
      <c r="B41" s="47" t="s">
        <v>160</v>
      </c>
      <c r="C41" s="41">
        <v>2016</v>
      </c>
      <c r="D41" s="28">
        <v>50</v>
      </c>
      <c r="E41" s="27">
        <v>2870144</v>
      </c>
      <c r="F41" s="12">
        <f t="shared" si="0"/>
        <v>57402.879999999997</v>
      </c>
      <c r="G41" s="23" t="s">
        <v>4</v>
      </c>
      <c r="H41" s="2"/>
    </row>
    <row r="42" spans="1:8" x14ac:dyDescent="0.25">
      <c r="A42" s="2"/>
      <c r="B42" s="47" t="s">
        <v>161</v>
      </c>
      <c r="C42" s="41">
        <v>2016</v>
      </c>
      <c r="D42" s="28">
        <v>50</v>
      </c>
      <c r="E42" s="27">
        <v>798000</v>
      </c>
      <c r="F42" s="12">
        <f t="shared" si="0"/>
        <v>15960</v>
      </c>
      <c r="G42" s="23" t="s">
        <v>4</v>
      </c>
      <c r="H42" s="2"/>
    </row>
    <row r="43" spans="1:8" x14ac:dyDescent="0.25">
      <c r="A43" s="2"/>
      <c r="B43" s="47" t="s">
        <v>162</v>
      </c>
      <c r="C43" s="41">
        <v>2016</v>
      </c>
      <c r="D43" s="28">
        <v>50</v>
      </c>
      <c r="E43" s="27">
        <v>997121.87</v>
      </c>
      <c r="F43" s="12">
        <f t="shared" si="0"/>
        <v>19942.437399999999</v>
      </c>
      <c r="G43" s="23" t="s">
        <v>4</v>
      </c>
      <c r="H43" s="2"/>
    </row>
    <row r="44" spans="1:8" x14ac:dyDescent="0.25">
      <c r="A44" s="2"/>
      <c r="B44" s="47" t="s">
        <v>162</v>
      </c>
      <c r="C44" s="41">
        <v>2016</v>
      </c>
      <c r="D44" s="28">
        <v>50</v>
      </c>
      <c r="E44" s="27">
        <v>2088934.19</v>
      </c>
      <c r="F44" s="12">
        <f t="shared" si="0"/>
        <v>41778.683799999999</v>
      </c>
      <c r="G44" s="23" t="s">
        <v>4</v>
      </c>
      <c r="H44" s="2"/>
    </row>
    <row r="45" spans="1:8" x14ac:dyDescent="0.25">
      <c r="A45" s="2"/>
      <c r="B45" s="47" t="s">
        <v>162</v>
      </c>
      <c r="C45" s="41">
        <v>2016</v>
      </c>
      <c r="D45" s="28">
        <v>50</v>
      </c>
      <c r="E45" s="27">
        <v>798701.28</v>
      </c>
      <c r="F45" s="12">
        <f t="shared" si="0"/>
        <v>15974.025600000001</v>
      </c>
      <c r="G45" s="23" t="s">
        <v>4</v>
      </c>
      <c r="H45" s="2"/>
    </row>
    <row r="46" spans="1:8" x14ac:dyDescent="0.25">
      <c r="A46" s="2"/>
      <c r="B46" s="47" t="s">
        <v>162</v>
      </c>
      <c r="C46" s="41">
        <v>2016</v>
      </c>
      <c r="D46" s="28">
        <v>50</v>
      </c>
      <c r="E46" s="27">
        <v>276577.14</v>
      </c>
      <c r="F46" s="12">
        <f t="shared" si="0"/>
        <v>5531.5428000000002</v>
      </c>
      <c r="G46" s="23" t="s">
        <v>4</v>
      </c>
      <c r="H46" s="2"/>
    </row>
    <row r="47" spans="1:8" x14ac:dyDescent="0.25">
      <c r="A47" s="2"/>
      <c r="B47" s="47" t="s">
        <v>162</v>
      </c>
      <c r="C47" s="41">
        <v>2016</v>
      </c>
      <c r="D47" s="28">
        <v>50</v>
      </c>
      <c r="E47" s="27">
        <v>1201093.25</v>
      </c>
      <c r="F47" s="12">
        <f t="shared" si="0"/>
        <v>24021.865000000002</v>
      </c>
      <c r="G47" s="23" t="s">
        <v>4</v>
      </c>
      <c r="H47" s="2"/>
    </row>
    <row r="48" spans="1:8" x14ac:dyDescent="0.25">
      <c r="A48" s="2"/>
      <c r="B48" s="47" t="s">
        <v>163</v>
      </c>
      <c r="C48" s="41">
        <v>2016</v>
      </c>
      <c r="D48" s="28">
        <v>15</v>
      </c>
      <c r="E48" s="27">
        <v>570834.25</v>
      </c>
      <c r="F48" s="12">
        <f t="shared" si="0"/>
        <v>38055.616666666669</v>
      </c>
      <c r="G48" s="23" t="s">
        <v>4</v>
      </c>
      <c r="H48" s="2"/>
    </row>
    <row r="49" spans="1:8" x14ac:dyDescent="0.25">
      <c r="A49" s="2"/>
      <c r="B49" s="91" t="s">
        <v>76</v>
      </c>
      <c r="C49" s="92"/>
      <c r="D49" s="92"/>
      <c r="E49" s="93"/>
      <c r="F49" s="21">
        <f>SUM(F10:F48)</f>
        <v>2866939.971466667</v>
      </c>
      <c r="G49" s="22" t="s">
        <v>4</v>
      </c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password="DFE9" sheet="1" objects="1" scenarios="1"/>
  <mergeCells count="4">
    <mergeCell ref="B49:E4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2017-10-13T16:16:25Z</dcterms:modified>
</cp:coreProperties>
</file>