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G16" i="22" s="1"/>
  <c r="E13" i="22"/>
  <c r="E10" i="22"/>
  <c r="E9" i="22"/>
  <c r="E11" i="22" l="1"/>
  <c r="E14" i="22" s="1"/>
  <c r="G14" i="22" s="1"/>
  <c r="E12" i="22"/>
  <c r="E13" i="15"/>
  <c r="E9" i="23" l="1"/>
  <c r="G17" i="22"/>
  <c r="G13" i="9"/>
  <c r="G9" i="9"/>
  <c r="G9" i="8"/>
  <c r="E14" i="23" l="1"/>
  <c r="G14" i="23" s="1"/>
  <c r="G15" i="23" s="1"/>
  <c r="G13" i="10"/>
  <c r="G16" i="9" l="1"/>
  <c r="G12" i="9"/>
  <c r="G12" i="8"/>
  <c r="E12" i="2"/>
  <c r="G11" i="10" l="1"/>
  <c r="F20" i="20"/>
  <c r="F21" i="20" s="1"/>
  <c r="E15" i="2" s="1"/>
  <c r="G20" i="19" l="1"/>
  <c r="G21" i="19" s="1"/>
  <c r="E11" i="2" s="1"/>
  <c r="F17" i="11" l="1"/>
  <c r="F16" i="11"/>
  <c r="F15" i="11"/>
  <c r="F14" i="11"/>
  <c r="F13" i="11"/>
  <c r="F12" i="11"/>
  <c r="F11" i="21" l="1"/>
  <c r="F12" i="21" s="1"/>
  <c r="D11" i="21"/>
  <c r="D12" i="21" s="1"/>
  <c r="F13" i="20" l="1"/>
  <c r="F14" i="20" s="1"/>
  <c r="E14" i="2" s="1"/>
  <c r="D13" i="20"/>
  <c r="E17" i="2"/>
  <c r="E16" i="2"/>
  <c r="D14" i="20" l="1"/>
  <c r="E13" i="2" s="1"/>
  <c r="E10" i="2" l="1"/>
  <c r="E10" i="15" s="1"/>
  <c r="G12" i="7"/>
  <c r="E9" i="2" l="1"/>
  <c r="E15" i="13"/>
  <c r="F11" i="11"/>
  <c r="F1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<sst xmlns="http://schemas.openxmlformats.org/spreadsheetml/2006/main" count="399" uniqueCount="192">
  <si>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</si>
  <si>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</si>
  <si>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</si>
  <si>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</si>
  <si>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</si>
  <si>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</si>
  <si>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</si>
  <si>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</si>
  <si>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</si>
  <si>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</si>
  <si>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</si>
  <si>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</si>
  <si>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</si>
  <si>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</si>
  <si>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</si>
  <si>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</si>
  <si>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</si>
  <si>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</si>
  <si>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</si>
  <si>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</si>
  <si>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</si>
  <si>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</si>
  <si>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</si>
  <si>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</si>
  <si>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</si>
  <si>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</si>
  <si>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</si>
  <si>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</si>
  <si>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</si>
  <si>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</si>
  <si>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</si>
  <si>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</si>
  <si>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</si>
  <si>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</si>
  <si>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</si>
  <si>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</si>
  <si>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</si>
  <si>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</si>
  <si>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</si>
  <si>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</si>
  <si>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</si>
  <si>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</si>
  <si>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</si>
  <si>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</si>
  <si>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</si>
  <si>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</si>
  <si>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</si>
  <si>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</si>
  <si>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</si>
  <si>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</si>
  <si>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</si>
  <si>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</si>
  <si>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</si>
  <si>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</si>
  <si>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</si>
  <si>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</si>
  <si>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</si>
  <si>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</si>
  <si>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</si>
  <si>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</si>
  <si>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</si>
  <si>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</si>
  <si>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</si>
  <si>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</si>
  <si>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</si>
  <si>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</si>
  <si>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</si>
  <si>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</si>
  <si>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</si>
  <si>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</si>
  <si>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</si>
  <si>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</si>
  <si>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</si>
  <si>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</si>
  <si>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</si>
  <si>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</si>
  <si>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</si>
  <si>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</si>
  <si>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</si>
  <si>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</si>
  <si>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</si>
  <si>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</si>
  <si>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</si>
  <si>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</si>
  <si>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</si>
  <si>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</si>
  <si>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</si>
  <si>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</si>
  <si>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</si>
  <si>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</si>
  <si>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</si>
  <si>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</si>
  <si>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</si>
  <si>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</si>
  <si>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</si>
  <si>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</si>
  <si>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</si>
  <si>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</si>
  <si>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</si>
  <si>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</si>
  <si>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</si>
  <si>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</si>
  <si>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</si>
  <si>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</si>
  <si>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</si>
  <si>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</si>
  <si>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</si>
  <si>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</si>
  <si>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</si>
  <si>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</si>
  <si>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</si>
  <si>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</si>
  <si>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</si>
  <si>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</si>
  <si>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</si>
  <si>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</si>
  <si>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</si>
  <si>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</si>
  <si>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</si>
  <si>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</si>
  <si>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</si>
  <si>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</si>
  <si>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</si>
  <si>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</si>
  <si>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</si>
  <si>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</si>
  <si>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</si>
  <si>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</si>
  <si>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</si>
  <si>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</si>
  <si>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</si>
  <si>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</si>
  <si>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</si>
  <si>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</si>
  <si>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</si>
  <si>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</si>
  <si>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</si>
  <si>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</si>
  <si>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</si>
  <si>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</si>
  <si>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</si>
  <si>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</si>
  <si>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</si>
  <si>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</si>
  <si>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</si>
  <si>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</si>
  <si>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</si>
  <si>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Strømpeforing Ø 200 mm &lt; Ledningsnet ≤ Ø 500 mm</t>
  </si>
  <si>
    <t>Pumpestationer m. overbygning (&lt; 20 m2), Mek/EL</t>
  </si>
  <si>
    <t>Jordbassin Klasse B</t>
  </si>
  <si>
    <t>Indløb med riste, SRO</t>
  </si>
  <si>
    <t>Indløb med riste, Mek/EL</t>
  </si>
  <si>
    <t>Indløb med riste, Konstruktioner</t>
  </si>
  <si>
    <t>Køretøjer, personbil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</si>
  <si>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</si>
  <si>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</si>
  <si>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</si>
  <si>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</si>
  <si>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</si>
  <si>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</si>
  <si>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</si>
  <si>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</si>
  <si>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</si>
  <si>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</si>
  <si>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</si>
  <si>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 xml:space="preserve">kr. </t>
  </si>
  <si>
    <t>Bekæmpelse af svovlbrintelugt på renseanlæg (§ 11, stk. 1)</t>
  </si>
  <si>
    <t>Etablering af måleudstyr på overløbsbygværker (§ 11, stk. 1)</t>
  </si>
  <si>
    <t>Forbedret rensning på renseanlægget (§ 11, stk. 1)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</si>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</sst>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5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-44122472.5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-44122472.5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7">
        <f>G9-G10</f>
        <v>0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26110282</v>
      </c>
      <c r="F10" s="12">
        <f>E10/D10</f>
        <v>348137.09333333332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50</v>
      </c>
      <c r="E11" s="27">
        <v>23374623</v>
      </c>
      <c r="F11" s="12">
        <f t="shared" ref="F11:F18" si="0">E11/D11</f>
        <v>467492.46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20</v>
      </c>
      <c r="E12" s="27">
        <v>2229713</v>
      </c>
      <c r="F12" s="12">
        <f t="shared" si="0"/>
        <v>111485.65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50</v>
      </c>
      <c r="E13" s="27">
        <v>4285960</v>
      </c>
      <c r="F13" s="12">
        <f t="shared" si="0"/>
        <v>85719.2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792125</v>
      </c>
      <c r="F14" s="12">
        <f t="shared" si="0"/>
        <v>79212.5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8849672</v>
      </c>
      <c r="F15" s="12">
        <f t="shared" si="0"/>
        <v>442483.6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60</v>
      </c>
      <c r="E16" s="27">
        <v>4354182</v>
      </c>
      <c r="F16" s="12">
        <f t="shared" si="0"/>
        <v>72569.7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</v>
      </c>
      <c r="E17" s="27">
        <v>640797</v>
      </c>
      <c r="F17" s="12">
        <f t="shared" si="0"/>
        <v>128159.4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</v>
      </c>
      <c r="E18" s="27">
        <v>905340</v>
      </c>
      <c r="F18" s="12">
        <f t="shared" si="0"/>
        <v>181068</v>
      </c>
      <c r="G18" s="23" t="s">
        <v>4</v>
      </c>
      <c r="H18" s="2"/>
    </row>
    <row r="19" spans="1:8" x14ac:dyDescent="0.25">
      <c r="A19" s="2"/>
      <c r="B19" s="99" t="s">
        <v>76</v>
      </c>
      <c r="C19" s="100"/>
      <c r="D19" s="100"/>
      <c r="E19" s="101"/>
      <c r="F19" s="21">
        <f>SUM(F10:F18)</f>
        <v>1916327.6033333333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175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5564732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3465000</v>
      </c>
      <c r="H10" s="23" t="s">
        <v>4</v>
      </c>
      <c r="I10" s="2"/>
    </row>
    <row r="11" spans="1:9" x14ac:dyDescent="0.25">
      <c r="A11" s="2"/>
      <c r="B11" s="99" t="s">
        <v>176</v>
      </c>
      <c r="C11" s="100"/>
      <c r="D11" s="100"/>
      <c r="E11" s="100"/>
      <c r="F11" s="101"/>
      <c r="G11" s="21">
        <f>G9-G10</f>
        <v>2099732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177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-781874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-700000</v>
      </c>
      <c r="H16" s="23" t="s">
        <v>4</v>
      </c>
      <c r="I16" s="2"/>
    </row>
    <row r="17" spans="1:9" x14ac:dyDescent="0.25">
      <c r="A17" s="2"/>
      <c r="B17" s="99" t="s">
        <v>177</v>
      </c>
      <c r="C17" s="100"/>
      <c r="D17" s="100"/>
      <c r="E17" s="100"/>
      <c r="F17" s="101"/>
      <c r="G17" s="21">
        <f>G15-G16</f>
        <v>-81874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178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0</v>
      </c>
      <c r="H22" s="23" t="s">
        <v>4</v>
      </c>
      <c r="I22" s="2"/>
    </row>
    <row r="23" spans="1:9" x14ac:dyDescent="0.25">
      <c r="A23" s="2"/>
      <c r="B23" s="99" t="s">
        <v>178</v>
      </c>
      <c r="C23" s="100"/>
      <c r="D23" s="100"/>
      <c r="E23" s="100"/>
      <c r="F23" s="101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179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1770268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1648689</v>
      </c>
      <c r="H28" s="23" t="s">
        <v>4</v>
      </c>
      <c r="I28" s="2"/>
    </row>
    <row r="29" spans="1:9" ht="15" customHeight="1" x14ac:dyDescent="0.25">
      <c r="A29" s="2"/>
      <c r="B29" s="104" t="s">
        <v>179</v>
      </c>
      <c r="C29" s="105"/>
      <c r="D29" s="105"/>
      <c r="E29" s="105"/>
      <c r="F29" s="106"/>
      <c r="G29" s="21">
        <f>G27-G28</f>
        <v>121579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2016'!F19</f>
        <v>1916327.6033333333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785000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1131327.6033333333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128769200.90801983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56426335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6884316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1859858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1635000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66805509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13232838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35000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13267838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-4000000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-57394398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-21065052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-82459450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-2386103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7287327</v>
      </c>
      <c r="F30" s="38" t="s">
        <v>4</v>
      </c>
      <c r="G30" s="18">
        <f>-$E$30</f>
        <v>-7287327</v>
      </c>
      <c r="H30" s="38" t="s">
        <v>4</v>
      </c>
      <c r="I30" s="2"/>
    </row>
    <row r="31" spans="1:9" x14ac:dyDescent="0.25">
      <c r="A31" s="2"/>
      <c r="B31" s="121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106046690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2906654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108953344</v>
      </c>
      <c r="F35" s="38" t="s">
        <v>4</v>
      </c>
      <c r="G35" s="18">
        <f>-E35</f>
        <v>-108953344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12528529.908019826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173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122" t="s">
        <v>166</v>
      </c>
      <c r="C10" s="124"/>
      <c r="D10" s="55">
        <v>419328</v>
      </c>
      <c r="E10" s="23" t="s">
        <v>4</v>
      </c>
      <c r="F10" s="27"/>
      <c r="G10" s="23" t="s">
        <v>4</v>
      </c>
      <c r="H10" s="2"/>
    </row>
    <row r="11" spans="1:8" x14ac:dyDescent="0.25">
      <c r="A11" s="2"/>
      <c r="B11" s="122" t="s">
        <v>167</v>
      </c>
      <c r="C11" s="124"/>
      <c r="D11" s="55">
        <v>91020</v>
      </c>
      <c r="E11" s="23" t="s">
        <v>4</v>
      </c>
      <c r="F11" s="27"/>
      <c r="G11" s="23" t="s">
        <v>4</v>
      </c>
      <c r="H11" s="2"/>
    </row>
    <row r="12" spans="1:8" x14ac:dyDescent="0.25">
      <c r="A12" s="2"/>
      <c r="B12" s="122" t="s">
        <v>168</v>
      </c>
      <c r="C12" s="124"/>
      <c r="D12" s="55">
        <v>1119000</v>
      </c>
      <c r="E12" s="23" t="s">
        <v>4</v>
      </c>
      <c r="F12" s="27"/>
      <c r="G12" s="23" t="s">
        <v>4</v>
      </c>
      <c r="H12" s="2"/>
    </row>
    <row r="13" spans="1:8" x14ac:dyDescent="0.25">
      <c r="A13" s="2"/>
      <c r="B13" s="99" t="s">
        <v>133</v>
      </c>
      <c r="C13" s="100"/>
      <c r="D13" s="21">
        <f>SUM(D10:D12)</f>
        <v>1629348</v>
      </c>
      <c r="E13" s="22" t="s">
        <v>4</v>
      </c>
      <c r="F13" s="21">
        <f>SUM(F10:F12)</f>
        <v>0</v>
      </c>
      <c r="G13" s="22" t="s">
        <v>4</v>
      </c>
      <c r="H13" s="2"/>
    </row>
    <row r="14" spans="1:8" x14ac:dyDescent="0.25">
      <c r="A14" s="2"/>
      <c r="B14" s="99" t="s">
        <v>145</v>
      </c>
      <c r="C14" s="101"/>
      <c r="D14" s="21">
        <f>D13*(1+'Fane 2.1. Økonomisk ramme 2018'!E18/100)</f>
        <v>1657861.59</v>
      </c>
      <c r="E14" s="22" t="s">
        <v>4</v>
      </c>
      <c r="F14" s="21">
        <f>F13*(1+'Fane 2.1. Økonomisk ramme 2018'!E18/100)</f>
        <v>0</v>
      </c>
      <c r="G14" s="22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99" t="s">
        <v>169</v>
      </c>
      <c r="C17" s="100"/>
      <c r="D17" s="100"/>
      <c r="E17" s="100"/>
      <c r="F17" s="100"/>
      <c r="G17" s="101"/>
      <c r="H17" s="2"/>
    </row>
    <row r="18" spans="1:8" ht="15" customHeight="1" x14ac:dyDescent="0.25">
      <c r="A18" s="2"/>
      <c r="B18" s="92" t="s">
        <v>185</v>
      </c>
      <c r="C18" s="93"/>
      <c r="D18" s="93"/>
      <c r="E18" s="94"/>
      <c r="F18" s="120" t="s">
        <v>170</v>
      </c>
      <c r="G18" s="120"/>
      <c r="H18" s="2"/>
    </row>
    <row r="19" spans="1:8" x14ac:dyDescent="0.25">
      <c r="A19" s="2"/>
      <c r="B19" s="122" t="s">
        <v>181</v>
      </c>
      <c r="C19" s="123"/>
      <c r="D19" s="123"/>
      <c r="E19" s="124"/>
      <c r="F19" s="27">
        <v>0</v>
      </c>
      <c r="G19" s="23" t="s">
        <v>4</v>
      </c>
      <c r="H19" s="2"/>
    </row>
    <row r="20" spans="1:8" x14ac:dyDescent="0.25">
      <c r="A20" s="2"/>
      <c r="B20" s="99" t="s">
        <v>171</v>
      </c>
      <c r="C20" s="100"/>
      <c r="D20" s="100"/>
      <c r="E20" s="101"/>
      <c r="F20" s="21">
        <f>SUM(F19:F19)</f>
        <v>0</v>
      </c>
      <c r="G20" s="22" t="s">
        <v>4</v>
      </c>
      <c r="H20" s="2"/>
    </row>
    <row r="21" spans="1:8" x14ac:dyDescent="0.25">
      <c r="A21" s="2"/>
      <c r="B21" s="99" t="s">
        <v>172</v>
      </c>
      <c r="C21" s="100"/>
      <c r="D21" s="100"/>
      <c r="E21" s="101"/>
      <c r="F21" s="21">
        <f>F20*(1+'Fane 2.1. Økonomisk ramme 2018'!E18/100)</f>
        <v>0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16">
    <mergeCell ref="B10:C10"/>
    <mergeCell ref="B11:C11"/>
    <mergeCell ref="B12:C12"/>
    <mergeCell ref="B3:G4"/>
    <mergeCell ref="B8:G8"/>
    <mergeCell ref="F9:G9"/>
    <mergeCell ref="B9:C9"/>
    <mergeCell ref="D9:E9"/>
    <mergeCell ref="B21:E21"/>
    <mergeCell ref="B17:G17"/>
    <mergeCell ref="F18:G18"/>
    <mergeCell ref="B14:C14"/>
    <mergeCell ref="B13:C13"/>
    <mergeCell ref="B18:E18"/>
    <mergeCell ref="B19:E19"/>
    <mergeCell ref="B20:E2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35" t="s">
        <v>180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122394757.77421807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7696870.9163481193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omk.'!G21</f>
        <v>-324082.4380254987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183</v>
      </c>
      <c r="C12" s="49"/>
      <c r="D12" s="50"/>
      <c r="E12" s="12">
        <f>'Fane 5. Individuelt eff.krav'!G10</f>
        <v>-1482962.3715271871</v>
      </c>
      <c r="F12" s="9" t="s">
        <v>4</v>
      </c>
      <c r="G12" s="13"/>
      <c r="H12" s="14"/>
      <c r="I12" s="2"/>
    </row>
    <row r="13" spans="1:9" x14ac:dyDescent="0.25">
      <c r="A13" s="2"/>
      <c r="B13" s="86" t="s">
        <v>129</v>
      </c>
      <c r="C13" s="87"/>
      <c r="D13" s="88"/>
      <c r="E13" s="12">
        <f>'Fane 11. Tillæg'!$D$14</f>
        <v>1657861.59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130</v>
      </c>
      <c r="C14" s="87"/>
      <c r="D14" s="88"/>
      <c r="E14" s="12">
        <f>'Fane 11. Tillæg'!$F$14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169</v>
      </c>
      <c r="C15" s="87"/>
      <c r="D15" s="88"/>
      <c r="E15" s="12">
        <f>'Fane 11. Tillæg'!F21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131</v>
      </c>
      <c r="C16" s="87"/>
      <c r="D16" s="88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132</v>
      </c>
      <c r="C17" s="87"/>
      <c r="D17" s="88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5" t="s">
        <v>123</v>
      </c>
      <c r="C19" s="90"/>
      <c r="D19" s="91"/>
      <c r="E19" s="12">
        <f>SUM(E9,E11:E17)*(E18/100)</f>
        <v>2139297.5547066443</v>
      </c>
      <c r="F19" s="9" t="s">
        <v>4</v>
      </c>
      <c r="G19" s="13"/>
      <c r="H19" s="14"/>
      <c r="I19" s="2"/>
    </row>
    <row r="20" spans="1:9" x14ac:dyDescent="0.25">
      <c r="A20" s="2"/>
      <c r="B20" s="89" t="s">
        <v>15</v>
      </c>
      <c r="C20" s="90"/>
      <c r="D20" s="91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9" t="s">
        <v>16</v>
      </c>
      <c r="C21" s="90"/>
      <c r="D21" s="91"/>
      <c r="E21" s="12">
        <f>'Fane 6. Generelt eff.krav'!G17</f>
        <v>2167322.9753300082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174</v>
      </c>
      <c r="C22" s="97"/>
      <c r="D22" s="98"/>
      <c r="E22" s="18">
        <f>SUM(E9,E11:E17,E19)-SUM(E20:E21)</f>
        <v>122217549.13404202</v>
      </c>
      <c r="F22" s="19" t="s">
        <v>4</v>
      </c>
      <c r="G22" s="18">
        <f>E22</f>
        <v>122217549.13404202</v>
      </c>
      <c r="H22" s="19" t="s">
        <v>4</v>
      </c>
      <c r="I22" s="2"/>
    </row>
    <row r="23" spans="1:9" x14ac:dyDescent="0.25">
      <c r="A23" s="2"/>
      <c r="B23" s="99" t="s">
        <v>17</v>
      </c>
      <c r="C23" s="100"/>
      <c r="D23" s="100"/>
      <c r="E23" s="100"/>
      <c r="F23" s="100"/>
      <c r="G23" s="100"/>
      <c r="H23" s="101"/>
      <c r="I23" s="2"/>
    </row>
    <row r="24" spans="1:9" x14ac:dyDescent="0.25">
      <c r="A24" s="2"/>
      <c r="B24" s="92" t="s">
        <v>55</v>
      </c>
      <c r="C24" s="93"/>
      <c r="D24" s="94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9" t="s">
        <v>98</v>
      </c>
      <c r="C25" s="100"/>
      <c r="D25" s="100"/>
      <c r="E25" s="100"/>
      <c r="F25" s="100"/>
      <c r="G25" s="100"/>
      <c r="H25" s="101"/>
      <c r="I25" s="2"/>
    </row>
    <row r="26" spans="1:9" x14ac:dyDescent="0.25">
      <c r="A26" s="2"/>
      <c r="B26" s="86" t="s">
        <v>105</v>
      </c>
      <c r="C26" s="87"/>
      <c r="D26" s="88"/>
      <c r="E26" s="12">
        <f>'Fane 9. Korrektion af PL2016'!G11</f>
        <v>2099732</v>
      </c>
      <c r="F26" s="9" t="s">
        <v>4</v>
      </c>
      <c r="G26" s="20"/>
      <c r="H26" s="11"/>
      <c r="I26" s="2"/>
    </row>
    <row r="27" spans="1:9" x14ac:dyDescent="0.25">
      <c r="A27" s="2"/>
      <c r="B27" s="86" t="s">
        <v>99</v>
      </c>
      <c r="C27" s="87"/>
      <c r="D27" s="88"/>
      <c r="E27" s="12">
        <f>'Fane 9. Korrektion af PL2016'!G17</f>
        <v>-81874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6" t="s">
        <v>100</v>
      </c>
      <c r="C28" s="87"/>
      <c r="D28" s="88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6" t="s">
        <v>101</v>
      </c>
      <c r="C29" s="87"/>
      <c r="D29" s="88"/>
      <c r="E29" s="12">
        <f>'Fane 9. Korrektion af PL2016'!G29</f>
        <v>121579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6" t="s">
        <v>102</v>
      </c>
      <c r="C30" s="87"/>
      <c r="D30" s="88"/>
      <c r="E30" s="12">
        <f>'Fane 9. Korrektion af PL2016'!G35</f>
        <v>1131327.6033333333</v>
      </c>
      <c r="F30" s="9" t="s">
        <v>4</v>
      </c>
      <c r="G30" s="15"/>
      <c r="H30" s="14"/>
      <c r="I30" s="2"/>
    </row>
    <row r="31" spans="1:9" x14ac:dyDescent="0.25">
      <c r="A31" s="2"/>
      <c r="B31" s="92" t="s">
        <v>103</v>
      </c>
      <c r="C31" s="93"/>
      <c r="D31" s="94"/>
      <c r="E31" s="18">
        <f>SUM(E26:E30)</f>
        <v>3270764.6033333335</v>
      </c>
      <c r="F31" s="19" t="s">
        <v>4</v>
      </c>
      <c r="G31" s="18">
        <f>E31</f>
        <v>3270764.6033333335</v>
      </c>
      <c r="H31" s="19" t="s">
        <v>4</v>
      </c>
      <c r="I31" s="2"/>
    </row>
    <row r="32" spans="1:9" x14ac:dyDescent="0.25">
      <c r="A32" s="2"/>
      <c r="B32" s="99" t="s">
        <v>18</v>
      </c>
      <c r="C32" s="100"/>
      <c r="D32" s="100"/>
      <c r="E32" s="100"/>
      <c r="F32" s="100"/>
      <c r="G32" s="100"/>
      <c r="H32" s="101"/>
      <c r="I32" s="2"/>
    </row>
    <row r="33" spans="1:9" x14ac:dyDescent="0.25">
      <c r="A33" s="2"/>
      <c r="B33" s="92" t="s">
        <v>104</v>
      </c>
      <c r="C33" s="93"/>
      <c r="D33" s="94"/>
      <c r="E33" s="18">
        <f>'Fane 10. Kontrol af PL2016'!G36</f>
        <v>12528529.908019826</v>
      </c>
      <c r="F33" s="19" t="s">
        <v>4</v>
      </c>
      <c r="G33" s="18">
        <f>E33</f>
        <v>12528529.908019826</v>
      </c>
      <c r="H33" s="19" t="s">
        <v>4</v>
      </c>
      <c r="I33" s="2"/>
    </row>
    <row r="34" spans="1:9" x14ac:dyDescent="0.25">
      <c r="A34" s="2"/>
      <c r="B34" s="99" t="s">
        <v>62</v>
      </c>
      <c r="C34" s="100"/>
      <c r="D34" s="100"/>
      <c r="E34" s="100"/>
      <c r="F34" s="101"/>
      <c r="G34" s="21">
        <f>G22+G24+G31+G33</f>
        <v>138016843.64539519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2018'!G22</f>
        <v>122217549.13404202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</f>
        <v>7501812.2766932668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2138807.1098457356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2164213.8536318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174</v>
      </c>
      <c r="C14" s="97"/>
      <c r="D14" s="98"/>
      <c r="E14" s="18">
        <f>$E$9+$E$11-$E$12-$E$13</f>
        <v>122192142.39025597</v>
      </c>
      <c r="F14" s="19" t="s">
        <v>4</v>
      </c>
      <c r="G14" s="18">
        <f>E14</f>
        <v>122192142.39025597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107</v>
      </c>
      <c r="C17" s="100"/>
      <c r="D17" s="100"/>
      <c r="E17" s="100"/>
      <c r="F17" s="101"/>
      <c r="G17" s="21">
        <f>G14+G16</f>
        <v>122192142.39025597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186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187</v>
      </c>
      <c r="C9" s="87"/>
      <c r="D9" s="88"/>
      <c r="E9" s="8">
        <f>'Fane 2.2. Økonomisk ramme 2019'!G14</f>
        <v>122192142.39025597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2018'!E18/100)^2</f>
        <v>7633093.9915353991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2138362.4918294796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2161112.0291454904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174</v>
      </c>
      <c r="C14" s="97"/>
      <c r="D14" s="98"/>
      <c r="E14" s="18">
        <f>$E$9+$E$11-$E$12-$E$13</f>
        <v>122169392.85293996</v>
      </c>
      <c r="F14" s="19" t="s">
        <v>4</v>
      </c>
      <c r="G14" s="18">
        <f>E14</f>
        <v>122169392.85293996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188</v>
      </c>
      <c r="C17" s="100"/>
      <c r="D17" s="100"/>
      <c r="E17" s="100"/>
      <c r="F17" s="101"/>
      <c r="G17" s="21">
        <f>G14+G16</f>
        <v>122169392.85293996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189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190</v>
      </c>
      <c r="C9" s="87"/>
      <c r="D9" s="88"/>
      <c r="E9" s="8">
        <f>'Fane 2.3. Økonomisk ramme 2020'!G14</f>
        <v>122169392.85293996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2018'!E18/100)^3</f>
        <v>7766673.136387269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2137964.3749264493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2158017.4818711644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174</v>
      </c>
      <c r="C14" s="97"/>
      <c r="D14" s="98"/>
      <c r="E14" s="18">
        <f>$E$9+$E$11-$E$12-$E$13</f>
        <v>122149339.74599525</v>
      </c>
      <c r="F14" s="19" t="s">
        <v>4</v>
      </c>
      <c r="G14" s="18">
        <f>E14</f>
        <v>122149339.74599525</v>
      </c>
      <c r="H14" s="19" t="s">
        <v>4</v>
      </c>
      <c r="I14" s="2"/>
    </row>
    <row r="15" spans="1:9" x14ac:dyDescent="0.25">
      <c r="A15" s="2"/>
      <c r="B15" s="99" t="s">
        <v>191</v>
      </c>
      <c r="C15" s="100"/>
      <c r="D15" s="100"/>
      <c r="E15" s="100"/>
      <c r="F15" s="101"/>
      <c r="G15" s="21">
        <f>G14</f>
        <v>122149339.74599525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41253662.374984488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73444224.482885465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7696870.9163481193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122394757.77421807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155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156</v>
      </c>
      <c r="C11" s="109"/>
      <c r="D11" s="109"/>
      <c r="E11" s="56">
        <v>609534.93200000003</v>
      </c>
      <c r="F11" s="23" t="s">
        <v>4</v>
      </c>
      <c r="G11" s="27">
        <v>738811</v>
      </c>
      <c r="H11" s="23" t="s">
        <v>4</v>
      </c>
      <c r="I11" s="2"/>
    </row>
    <row r="12" spans="1:9" x14ac:dyDescent="0.25">
      <c r="A12" s="2"/>
      <c r="B12" s="108" t="s">
        <v>157</v>
      </c>
      <c r="C12" s="109"/>
      <c r="D12" s="109"/>
      <c r="E12" s="56">
        <v>702461.46419999993</v>
      </c>
      <c r="F12" s="23" t="s">
        <v>4</v>
      </c>
      <c r="G12" s="27">
        <v>383548</v>
      </c>
      <c r="H12" s="23" t="s">
        <v>4</v>
      </c>
      <c r="I12" s="2"/>
    </row>
    <row r="13" spans="1:9" x14ac:dyDescent="0.25">
      <c r="A13" s="2"/>
      <c r="B13" s="108" t="s">
        <v>158</v>
      </c>
      <c r="C13" s="109"/>
      <c r="D13" s="109"/>
      <c r="E13" s="56">
        <v>32399.4126</v>
      </c>
      <c r="F13" s="23" t="s">
        <v>4</v>
      </c>
      <c r="G13" s="27">
        <v>98328</v>
      </c>
      <c r="H13" s="23" t="s">
        <v>4</v>
      </c>
      <c r="I13" s="2"/>
    </row>
    <row r="14" spans="1:9" x14ac:dyDescent="0.25">
      <c r="A14" s="2"/>
      <c r="B14" s="108" t="s">
        <v>159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160</v>
      </c>
      <c r="C15" s="109"/>
      <c r="D15" s="109"/>
      <c r="E15" s="56">
        <v>4030044.4153999998</v>
      </c>
      <c r="F15" s="23" t="s">
        <v>4</v>
      </c>
      <c r="G15" s="27">
        <v>3136580</v>
      </c>
      <c r="H15" s="23" t="s">
        <v>4</v>
      </c>
      <c r="I15" s="2"/>
    </row>
    <row r="16" spans="1:9" x14ac:dyDescent="0.25">
      <c r="A16" s="2"/>
      <c r="B16" s="108" t="s">
        <v>161</v>
      </c>
      <c r="C16" s="109"/>
      <c r="D16" s="109"/>
      <c r="E16" s="56">
        <v>426186.31439999997</v>
      </c>
      <c r="F16" s="23" t="s">
        <v>4</v>
      </c>
      <c r="G16" s="27">
        <v>951465</v>
      </c>
      <c r="H16" s="23" t="s">
        <v>4</v>
      </c>
      <c r="I16" s="2"/>
    </row>
    <row r="17" spans="1:9" x14ac:dyDescent="0.25">
      <c r="A17" s="2"/>
      <c r="B17" s="108" t="s">
        <v>162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164</v>
      </c>
      <c r="C18" s="112"/>
      <c r="D18" s="113"/>
      <c r="E18" s="56">
        <v>0</v>
      </c>
      <c r="F18" s="23" t="s">
        <v>165</v>
      </c>
      <c r="G18" s="27">
        <v>202838</v>
      </c>
      <c r="H18" s="23" t="s">
        <v>165</v>
      </c>
      <c r="I18" s="2"/>
    </row>
    <row r="19" spans="1:9" ht="30" customHeight="1" x14ac:dyDescent="0.25">
      <c r="A19" s="2"/>
      <c r="B19" s="110" t="s">
        <v>163</v>
      </c>
      <c r="C19" s="110"/>
      <c r="D19" s="110"/>
      <c r="E19" s="56">
        <v>1799720</v>
      </c>
      <c r="F19" s="23" t="s">
        <v>4</v>
      </c>
      <c r="G19" s="27">
        <v>1770268</v>
      </c>
      <c r="H19" s="23" t="s">
        <v>4</v>
      </c>
      <c r="I19" s="2"/>
    </row>
    <row r="20" spans="1:9" x14ac:dyDescent="0.25">
      <c r="A20" s="2"/>
      <c r="B20" s="99" t="s">
        <v>134</v>
      </c>
      <c r="C20" s="100"/>
      <c r="D20" s="100"/>
      <c r="E20" s="100"/>
      <c r="F20" s="101"/>
      <c r="G20" s="21">
        <f>SUM(G10:G19)-SUM(E10:E19)</f>
        <v>-318508.53859999869</v>
      </c>
      <c r="H20" s="22" t="s">
        <v>4</v>
      </c>
      <c r="I20" s="2"/>
    </row>
    <row r="21" spans="1:9" x14ac:dyDescent="0.25">
      <c r="A21" s="2"/>
      <c r="B21" s="99" t="s">
        <v>135</v>
      </c>
      <c r="C21" s="100"/>
      <c r="D21" s="100"/>
      <c r="E21" s="100"/>
      <c r="F21" s="101"/>
      <c r="G21" s="21">
        <f>G20*(1+'Fane 2.1. Økonomisk ramme 2018'!E18/100)</f>
        <v>-324082.4380254987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2018'!E13:E14,'Fane 2.1. Økonomisk ramme 2018'!E16:E17)</f>
        <v>116355748.44786996</v>
      </c>
      <c r="H9" s="23" t="s">
        <v>4</v>
      </c>
      <c r="I9" s="2"/>
    </row>
    <row r="10" spans="1:9" x14ac:dyDescent="0.25">
      <c r="A10" s="2"/>
      <c r="B10" s="51" t="s">
        <v>183</v>
      </c>
      <c r="C10" s="49"/>
      <c r="D10" s="49"/>
      <c r="E10" s="49"/>
      <c r="F10" s="50"/>
      <c r="G10" s="12">
        <v>-1482962.3715271871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2018'!E16))</f>
        <v>42911523.964984491</v>
      </c>
      <c r="H9" s="23" t="s">
        <v>4</v>
      </c>
      <c r="I9" s="2"/>
    </row>
    <row r="10" spans="1:9" x14ac:dyDescent="0.25">
      <c r="A10" s="2"/>
      <c r="B10" s="52" t="s">
        <v>182</v>
      </c>
      <c r="C10" s="53"/>
      <c r="D10" s="53"/>
      <c r="E10" s="53"/>
      <c r="F10" s="54"/>
      <c r="G10" s="12">
        <v>-825073.24749968981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856459.27210081578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 xml:space="preserve"> 'Fane 3. Korrigeret grundlag'!G10+SUM('Fane 2.1. Økonomisk ramme 2018'!E14,'Fane 2.1. Økonomisk ramme 2018'!E17)</f>
        <v>73444224.482885465</v>
      </c>
      <c r="H13" s="23" t="s">
        <v>4</v>
      </c>
      <c r="I13" s="2"/>
    </row>
    <row r="14" spans="1:9" x14ac:dyDescent="0.25">
      <c r="A14" s="2"/>
      <c r="B14" s="51" t="s">
        <v>184</v>
      </c>
      <c r="C14" s="49"/>
      <c r="D14" s="49"/>
      <c r="E14" s="49"/>
      <c r="F14" s="50"/>
      <c r="G14" s="12">
        <v>-657889.12402749737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1310863.7032291924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2167322.9753300082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2017-10-13T15:44:26Z</dcterms:modified>
</cp:coreProperties>
</file>