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Medfinansiering" sheetId="29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1" i="12" l="1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4" i="12" l="1"/>
  <c r="B16" i="12" s="1"/>
</calcChain>
</file>

<file path=xl/sharedStrings.xml><?xml version="1.0" encoding="utf-8"?>
<sst xmlns="http://schemas.openxmlformats.org/spreadsheetml/2006/main" count="105" uniqueCount="74">
  <si>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</si>
  <si>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</si>
  <si>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</si>
  <si>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</si>
  <si>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</si>
  <si>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</si>
  <si>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</si>
  <si>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</si>
  <si>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</si>
  <si>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</si>
  <si>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</si>
  <si>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</si>
  <si>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</si>
  <si>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</si>
  <si>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</si>
  <si>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</si>
  <si>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</si>
  <si>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</si>
  <si>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</si>
  <si>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</si>
  <si>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</si>
  <si>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</si>
  <si>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</si>
  <si>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</si>
  <si>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</si>
  <si>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</si>
  <si>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</si>
  <si>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</si>
  <si>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</si>
  <si>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</si>
  <si>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</si>
  <si>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</si>
  <si>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</si>
  <si>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</si>
  <si>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</si>
  <si>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</si>
  <si>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</si>
  <si>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</si>
  <si>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</si>
  <si>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</si>
  <si>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</si>
  <si>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</si>
  <si>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</si>
  <si>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</si>
  <si>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</si>
  <si>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</si>
  <si>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</si>
  <si>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</si>
  <si>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</si>
  <si>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</si>
  <si>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</si>
  <si>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</si>
  <si>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</si>
  <si>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</si>
  <si>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</si>
  <si>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</si>
  <si>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</si>
  <si>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</si>
  <si>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</si>
  <si>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</si>
  <si>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</si>
  <si>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</si>
  <si>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</si>
  <si>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</si>
  <si>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</si>
  <si>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</si>
  <si>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</si>
  <si>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</si>
  <si>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</si>
  <si>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</si>
  <si>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Korskilde Sø</t>
  </si>
  <si>
    <t>Erritsø Bæk</t>
  </si>
  <si>
    <t>Ullerup Bæk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</si>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</sst>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40687604.686314665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204094.99493333331</v>
      </c>
      <c r="C3" t="s">
        <v>10</v>
      </c>
    </row>
    <row r="4" spans="1:3" s="25" customFormat="1" x14ac:dyDescent="0.25">
      <c r="A4" s="3" t="s">
        <v>11</v>
      </c>
      <c r="B4" s="45">
        <f>SUM(B2:B3)</f>
        <v>40891699.681248002</v>
      </c>
      <c r="C4" s="54" t="s">
        <v>10</v>
      </c>
    </row>
    <row r="5" spans="1:3" x14ac:dyDescent="0.25">
      <c r="A5" s="44" t="s">
        <v>0</v>
      </c>
      <c r="B5" s="35">
        <f>Investeringer!E3</f>
        <v>61406874.154757842</v>
      </c>
      <c r="C5" s="22" t="s">
        <v>10</v>
      </c>
    </row>
    <row r="6" spans="1:3" x14ac:dyDescent="0.25">
      <c r="A6" s="4" t="s">
        <v>1</v>
      </c>
      <c r="B6" s="32">
        <f>Investeringer!F3</f>
        <v>9388895.8291180227</v>
      </c>
      <c r="C6" t="s">
        <v>10</v>
      </c>
    </row>
    <row r="7" spans="1:3" x14ac:dyDescent="0.25">
      <c r="A7" s="4" t="s">
        <v>2</v>
      </c>
      <c r="B7" s="32">
        <f>Investeringer!G3</f>
        <v>1923637.4255504217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80412</v>
      </c>
      <c r="C8" t="s">
        <v>10</v>
      </c>
    </row>
    <row r="9" spans="1:3" s="21" customFormat="1" x14ac:dyDescent="0.25">
      <c r="A9" s="3" t="s">
        <v>44</v>
      </c>
      <c r="B9" s="45">
        <f>SUM(B5:B8)</f>
        <v>72799819.409426287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5822753</v>
      </c>
      <c r="C10" t="s">
        <v>10</v>
      </c>
    </row>
    <row r="11" spans="1:3" s="21" customFormat="1" x14ac:dyDescent="0.25">
      <c r="A11" s="4" t="s">
        <v>46</v>
      </c>
      <c r="B11" s="32">
        <f>SUM(Medfinansiering!B:B)</f>
        <v>1806585</v>
      </c>
      <c r="C11" s="21" t="s">
        <v>10</v>
      </c>
    </row>
    <row r="12" spans="1:3" s="21" customFormat="1" x14ac:dyDescent="0.25">
      <c r="A12" s="3" t="s">
        <v>67</v>
      </c>
      <c r="B12" s="45">
        <f>SUM(B10:B11)</f>
        <v>7629338</v>
      </c>
      <c r="C12" s="54" t="s">
        <v>10</v>
      </c>
    </row>
    <row r="13" spans="1:3" x14ac:dyDescent="0.25">
      <c r="A13" s="1"/>
      <c r="B13" s="32"/>
    </row>
    <row r="14" spans="1:3" ht="15.75" thickBot="1" x14ac:dyDescent="0.3">
      <c r="A14" s="26" t="s">
        <v>57</v>
      </c>
      <c r="B14" s="34">
        <f>SUM(B4,B9,B12)</f>
        <v>121320857.09067428</v>
      </c>
      <c r="C14" s="26" t="s">
        <v>3</v>
      </c>
    </row>
    <row r="15" spans="1:3" ht="15.75" thickTop="1" x14ac:dyDescent="0.25"/>
    <row r="16" spans="1:3" ht="15.75" thickBot="1" x14ac:dyDescent="0.3">
      <c r="A16" s="26" t="s">
        <v>49</v>
      </c>
      <c r="B16" s="34">
        <f>B14*Pristalsregulering!C8*Pristalsregulering!C9</f>
        <v>122394757.77421807</v>
      </c>
      <c r="C16" s="26" t="s">
        <v>3</v>
      </c>
    </row>
    <row r="17" spans="2:2" ht="15.75" hidden="1" thickTop="1" x14ac:dyDescent="0.25">
      <c r="B17" s="5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58</v>
      </c>
      <c r="D1" s="51" t="s">
        <v>59</v>
      </c>
      <c r="E1" s="51" t="s">
        <v>50</v>
      </c>
      <c r="F1" s="49" t="s">
        <v>60</v>
      </c>
      <c r="G1" s="49" t="s">
        <v>68</v>
      </c>
      <c r="H1" s="49" t="s">
        <v>61</v>
      </c>
      <c r="I1" s="49" t="s">
        <v>45</v>
      </c>
      <c r="J1" s="11" t="s">
        <v>62</v>
      </c>
      <c r="K1" s="11" t="s">
        <v>63</v>
      </c>
    </row>
    <row r="2" spans="1:11" s="22" customFormat="1" ht="15.75" thickTop="1" x14ac:dyDescent="0.25">
      <c r="A2" s="27">
        <v>2015</v>
      </c>
      <c r="B2" s="46">
        <v>44107526</v>
      </c>
      <c r="C2" s="46">
        <v>0</v>
      </c>
      <c r="D2" s="46">
        <f>B2+C2</f>
        <v>44107526</v>
      </c>
      <c r="E2" s="47">
        <f>D2</f>
        <v>44107526</v>
      </c>
      <c r="F2" s="46">
        <v>49132709.908019826</v>
      </c>
      <c r="G2" s="46">
        <v>0</v>
      </c>
      <c r="H2" s="46">
        <f>F2-G2</f>
        <v>49132709.908019826</v>
      </c>
      <c r="I2" s="46">
        <f>AVERAGEIF(E2:E4,"&lt;&gt;0")</f>
        <v>40687604.686314665</v>
      </c>
      <c r="J2" s="46">
        <v>39991799.476029485</v>
      </c>
      <c r="K2" s="36">
        <f>IF(H2&gt;I2,IF(I2&gt;J2,I2,J2),H2)</f>
        <v>40687604.686314665</v>
      </c>
    </row>
    <row r="3" spans="1:11" s="22" customFormat="1" x14ac:dyDescent="0.25">
      <c r="A3" s="27">
        <v>2014</v>
      </c>
      <c r="B3" s="46">
        <v>39259524</v>
      </c>
      <c r="C3" s="46"/>
      <c r="D3" s="46">
        <f t="shared" ref="D3:D4" si="0">B3+C3</f>
        <v>39259524</v>
      </c>
      <c r="E3" s="47">
        <f>D3*Pristalsregulering!C7</f>
        <v>39290931.619199999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38062512</v>
      </c>
      <c r="C4" s="46"/>
      <c r="D4" s="46">
        <f t="shared" si="0"/>
        <v>38062512</v>
      </c>
      <c r="E4" s="47">
        <f>D4*Pristalsregulering!$C$6*Pristalsregulering!$C$7</f>
        <v>38664356.439743996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5" t="s">
        <v>21</v>
      </c>
      <c r="C1" s="66"/>
      <c r="D1" s="66"/>
      <c r="E1" s="67" t="s">
        <v>51</v>
      </c>
      <c r="F1" s="68"/>
      <c r="G1" s="69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25000</v>
      </c>
      <c r="C3" s="39">
        <v>207000</v>
      </c>
      <c r="D3" s="39">
        <v>0</v>
      </c>
      <c r="E3" s="38">
        <f>B3</f>
        <v>25000</v>
      </c>
      <c r="F3" s="39">
        <f t="shared" ref="F3:G3" si="0">C3</f>
        <v>207000</v>
      </c>
      <c r="G3" s="40">
        <f t="shared" si="0"/>
        <v>0</v>
      </c>
      <c r="H3" s="41">
        <f>IF(E3=0,0,AVERAGEIF(E3:E5,"&lt;&gt;0"))+IF(F3=0,0,AVERAGEIF(F3:F5,"&lt;&gt;0"))+IF(G3=0,0,AVERAGEIF(G3:G5,"&lt;&gt;0"))</f>
        <v>204094.99493333331</v>
      </c>
    </row>
    <row r="4" spans="1:8" x14ac:dyDescent="0.25">
      <c r="A4" s="30">
        <v>2014</v>
      </c>
      <c r="B4" s="38">
        <v>35000</v>
      </c>
      <c r="C4" s="39">
        <v>156800</v>
      </c>
      <c r="D4" s="39">
        <v>0</v>
      </c>
      <c r="E4" s="38">
        <f>B4*Pristalsregulering!$C$7</f>
        <v>35028</v>
      </c>
      <c r="F4" s="39">
        <f>C4*Pristalsregulering!$C$7</f>
        <v>156925.43999999997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35000</v>
      </c>
      <c r="C5" s="39">
        <v>150400</v>
      </c>
      <c r="D5" s="39">
        <v>0</v>
      </c>
      <c r="E5" s="38">
        <f>B5*Pristalsregulering!$C$7*Pristalsregulering!$C$6</f>
        <v>35553.42</v>
      </c>
      <c r="F5" s="39">
        <f>C5*Pristalsregulering!$C$7*Pristalsregulering!$C$6</f>
        <v>152778.12479999996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4"/>
      <c r="B1" s="68" t="s">
        <v>65</v>
      </c>
      <c r="C1" s="68"/>
      <c r="D1" s="69"/>
      <c r="E1" s="70" t="s">
        <v>66</v>
      </c>
      <c r="F1" s="70"/>
      <c r="G1" s="70"/>
    </row>
    <row r="2" spans="1:7" s="21" customFormat="1" ht="15.75" thickTop="1" x14ac:dyDescent="0.25">
      <c r="A2" s="62" t="s">
        <v>12</v>
      </c>
      <c r="B2" s="22" t="s">
        <v>64</v>
      </c>
      <c r="C2" s="22" t="s">
        <v>1</v>
      </c>
      <c r="D2" s="27" t="s">
        <v>73</v>
      </c>
      <c r="E2" s="21" t="s">
        <v>0</v>
      </c>
      <c r="F2" s="21" t="s">
        <v>1</v>
      </c>
      <c r="G2" s="21" t="s">
        <v>73</v>
      </c>
    </row>
    <row r="3" spans="1:7" s="21" customFormat="1" x14ac:dyDescent="0.25">
      <c r="A3" s="63">
        <v>2015</v>
      </c>
      <c r="B3" s="35">
        <v>56403906.06115669</v>
      </c>
      <c r="C3" s="35">
        <v>9140425.596666662</v>
      </c>
      <c r="D3" s="37">
        <v>1916327.60333333</v>
      </c>
      <c r="E3" s="32">
        <f>B3*Pristalsregulering!C2*Pristalsregulering!C3*Pristalsregulering!C4*Pristalsregulering!C5*Pristalsregulering!C6*Pristalsregulering!C7</f>
        <v>61406874.154757842</v>
      </c>
      <c r="F3" s="32">
        <v>9388895.8291180227</v>
      </c>
      <c r="G3" s="32">
        <f xml:space="preserve"> D3/Pristalsregulering!$C$8</f>
        <v>1923637.4255504217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61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5" t="s">
        <v>37</v>
      </c>
      <c r="C1" s="66"/>
      <c r="D1" s="66"/>
      <c r="E1" s="66"/>
      <c r="F1" s="67" t="s">
        <v>52</v>
      </c>
      <c r="G1" s="68"/>
      <c r="H1" s="68"/>
      <c r="I1" s="68"/>
      <c r="J1" s="71" t="s">
        <v>26</v>
      </c>
      <c r="K1" s="70"/>
      <c r="L1" s="72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69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80412</v>
      </c>
      <c r="D3" s="35">
        <v>0</v>
      </c>
      <c r="E3" s="37">
        <v>0</v>
      </c>
      <c r="F3" s="35">
        <f>B3</f>
        <v>0</v>
      </c>
      <c r="G3" s="35">
        <f>C3</f>
        <v>80412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80412</v>
      </c>
      <c r="L3" s="40">
        <f>AVERAGE(H3:H5)+AVERAGE(I3:I5)</f>
        <v>0</v>
      </c>
      <c r="M3" s="41">
        <f>SUM(J3:L3)</f>
        <v>80412</v>
      </c>
      <c r="N3" s="22"/>
    </row>
    <row r="4" spans="1:14" x14ac:dyDescent="0.25">
      <c r="A4" s="27">
        <v>2014</v>
      </c>
      <c r="B4" s="42">
        <v>0</v>
      </c>
      <c r="C4" s="35">
        <v>117275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117368.81999999999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155380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157836.86855999997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9" t="s">
        <v>27</v>
      </c>
      <c r="C1" s="59" t="s">
        <v>28</v>
      </c>
      <c r="D1" s="59" t="s">
        <v>29</v>
      </c>
      <c r="E1" s="59" t="s">
        <v>30</v>
      </c>
      <c r="F1" s="59" t="s">
        <v>31</v>
      </c>
      <c r="G1" s="59" t="s">
        <v>32</v>
      </c>
      <c r="H1" s="59" t="s">
        <v>33</v>
      </c>
      <c r="I1" s="59" t="s">
        <v>34</v>
      </c>
      <c r="J1" s="59" t="s">
        <v>35</v>
      </c>
      <c r="K1" s="59" t="s">
        <v>53</v>
      </c>
      <c r="L1" s="60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611860</v>
      </c>
      <c r="E2" s="39">
        <v>427812</v>
      </c>
      <c r="F2" s="39">
        <v>705141</v>
      </c>
      <c r="G2" s="39">
        <v>0</v>
      </c>
      <c r="H2" s="39">
        <v>4045417</v>
      </c>
      <c r="I2" s="39">
        <v>0</v>
      </c>
      <c r="J2" s="39"/>
      <c r="K2" s="39"/>
      <c r="L2" s="40">
        <v>0</v>
      </c>
      <c r="M2" s="41">
        <f>SUM(B2:L2)</f>
        <v>5822753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2" bestFit="1" customWidth="1"/>
    <col min="3" max="16384" width="9.140625" hidden="1"/>
  </cols>
  <sheetData>
    <row r="1" spans="1:2" x14ac:dyDescent="0.25">
      <c r="A1" s="55" t="s">
        <v>54</v>
      </c>
      <c r="B1" s="56" t="s">
        <v>55</v>
      </c>
    </row>
    <row r="2" spans="1:2" x14ac:dyDescent="0.25">
      <c r="A2" s="22" t="s">
        <v>70</v>
      </c>
      <c r="B2" s="32">
        <v>516460</v>
      </c>
    </row>
    <row r="3" spans="1:2" x14ac:dyDescent="0.25">
      <c r="A3" t="s">
        <v>71</v>
      </c>
      <c r="B3" s="32">
        <v>553923</v>
      </c>
    </row>
    <row r="4" spans="1:2" x14ac:dyDescent="0.25">
      <c r="A4" t="s">
        <v>72</v>
      </c>
      <c r="B4" s="32">
        <v>736202</v>
      </c>
    </row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7" t="s">
        <v>56</v>
      </c>
      <c r="B2" s="58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2017-10-13T15:44:26Z</dcterms:modified>
</cp:coreProperties>
</file>