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4" i="23" l="1"/>
  <c r="E10" i="23"/>
  <c r="E14" i="22"/>
  <c r="E12" i="22"/>
  <c r="E9" i="22"/>
  <c r="E13" i="22" s="1"/>
  <c r="E17" i="22"/>
  <c r="E10" i="22"/>
  <c r="G17" i="22"/>
  <c r="E15" i="22" l="1"/>
  <c r="G15" i="22" s="1"/>
  <c r="G18" i="22" s="1"/>
  <c r="E14" i="15"/>
  <c r="E9" i="23" l="1"/>
  <c r="E9" i="15"/>
  <c r="E13" i="23" l="1"/>
  <c r="E15" i="23" s="1"/>
  <c r="G15" i="23" s="1"/>
  <c r="G16" i="23" s="1"/>
  <c r="E12" i="23"/>
  <c r="G13" i="9"/>
  <c r="G9" i="9"/>
  <c r="G9" i="8"/>
  <c r="G16" i="9" l="1"/>
  <c r="E12" i="2"/>
  <c r="G11" i="10" l="1"/>
  <c r="G13" i="10" s="1"/>
  <c r="F18" i="20"/>
  <c r="F19" i="20" s="1"/>
  <c r="E16" i="2" s="1"/>
  <c r="G22" i="7"/>
  <c r="E13" i="2" s="1"/>
  <c r="G12" i="9" s="1"/>
  <c r="G19" i="19" l="1"/>
  <c r="G20" i="19" s="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1" i="2"/>
  <c r="G12" i="7"/>
  <c r="G12" i="8" s="1"/>
  <c r="E10" i="15" l="1"/>
  <c r="E9" i="2"/>
  <c r="E15" i="13"/>
  <c r="E20" i="2" l="1"/>
  <c r="E17" i="15"/>
  <c r="G17" i="15" s="1"/>
  <c r="E32" i="2" l="1"/>
  <c r="G30" i="13" l="1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38" i="1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<sst xmlns="http://schemas.openxmlformats.org/spreadsheetml/2006/main" count="452" uniqueCount="215">
  <si>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</si>
  <si>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</si>
  <si>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</si>
  <si>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</si>
  <si>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</si>
  <si>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</si>
  <si>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</si>
  <si>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</si>
  <si>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</si>
  <si>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</si>
  <si>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</si>
  <si>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</si>
  <si>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</si>
  <si>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</si>
  <si>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</si>
  <si>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</si>
  <si>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</si>
  <si>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</si>
  <si>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</si>
  <si>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</si>
  <si>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</si>
  <si>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</si>
  <si>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</si>
  <si>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</si>
  <si>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</si>
  <si>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</si>
  <si>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</si>
  <si>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</si>
  <si>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</si>
  <si>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</si>
  <si>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</si>
  <si>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</si>
  <si>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</si>
  <si>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</si>
  <si>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</si>
  <si>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</si>
  <si>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</si>
  <si>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</si>
  <si>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</si>
  <si>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</si>
  <si>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</si>
  <si>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</si>
  <si>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</si>
  <si>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</si>
  <si>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</si>
  <si>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</si>
  <si>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</si>
  <si>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</si>
  <si>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</si>
  <si>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</si>
  <si>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</si>
  <si>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</si>
  <si>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</si>
  <si>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</si>
  <si>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</si>
  <si>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</si>
  <si>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</si>
  <si>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</si>
  <si>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</si>
  <si>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</si>
  <si>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</si>
  <si>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</si>
  <si>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</si>
  <si>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</si>
  <si>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</si>
  <si>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</si>
  <si>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</si>
  <si>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</si>
  <si>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</si>
  <si>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</si>
  <si>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</si>
  <si>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</si>
  <si>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</si>
  <si>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</si>
  <si>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</si>
  <si>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</si>
  <si>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</si>
  <si>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</si>
  <si>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</si>
  <si>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</si>
  <si>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</si>
  <si>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</si>
  <si>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</si>
  <si>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</si>
  <si>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</si>
  <si>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</si>
  <si>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</si>
  <si>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</si>
  <si>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</si>
  <si>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</si>
  <si>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</si>
  <si>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</si>
  <si>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</si>
  <si>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</si>
  <si>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</si>
  <si>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</si>
  <si>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</si>
  <si>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</si>
  <si>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</si>
  <si>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</si>
  <si>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</si>
  <si>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</si>
  <si>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</si>
  <si>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</si>
  <si>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</si>
  <si>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</si>
  <si>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</si>
  <si>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</si>
  <si>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</si>
  <si>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</si>
  <si>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</si>
  <si>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</si>
  <si>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</si>
  <si>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</si>
  <si>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</si>
  <si>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</si>
  <si>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</si>
  <si>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</si>
  <si>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</si>
  <si>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</si>
  <si>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</si>
  <si>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</si>
  <si>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</si>
  <si>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</si>
  <si>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</si>
  <si>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</si>
  <si>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</si>
  <si>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</si>
  <si>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</si>
  <si>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</si>
  <si>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</si>
  <si>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</si>
  <si>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</si>
  <si>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</si>
  <si>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</si>
  <si>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</si>
  <si>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</si>
  <si>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</si>
  <si>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</si>
  <si>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</si>
  <si>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</si>
  <si>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</si>
  <si>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</si>
  <si>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</si>
  <si>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</si>
  <si>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</si>
  <si>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</si>
  <si>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</si>
  <si>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</si>
  <si>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Pumpestationer i brønde (&lt; 6,25 m2), Mek/EL</t>
  </si>
  <si>
    <t>Pumpestationer i brønde (&lt; 6,25 m2), Konstruktioner</t>
  </si>
  <si>
    <t>Pumpestationer i brønde (&lt; 6,25 m2), SRO</t>
  </si>
  <si>
    <t>Stik</t>
  </si>
  <si>
    <t>Brønde</t>
  </si>
  <si>
    <t>Ø 200 mm &lt; Ledningsnet ≤ Ø 500 mm</t>
  </si>
  <si>
    <t>Værksteder, garager</t>
  </si>
  <si>
    <t>Køretøjer, entreprenørmaskiner</t>
  </si>
  <si>
    <t>Køretøjer, små lastvogne (&lt; 3.500 kg.)</t>
  </si>
  <si>
    <t>Andre bygninger (tekniske installationer, målere mv.)</t>
  </si>
  <si>
    <t>Pumpestationer m. overbygning (&lt; 20 m2), SRO</t>
  </si>
  <si>
    <t>Strømpeforing ≤ Ø 200 mm</t>
  </si>
  <si>
    <t>Ledningsnet ≤ Ø 200 mm</t>
  </si>
  <si>
    <t>Ø 500 mm &lt; Ledningsnet ≤ Ø 800 mm</t>
  </si>
  <si>
    <t>Strømpeforing 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</si>
  <si>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</si>
  <si>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</si>
  <si>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</si>
  <si>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</si>
  <si>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</si>
  <si>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</si>
  <si>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</si>
  <si>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</si>
  <si>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</si>
  <si>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</si>
  <si>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</si>
  <si>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</si>
  <si>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</si>
  <si>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</si>
  <si>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</si>
  <si>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</si>
  <si>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</si>
  <si>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</si>
  <si>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</si>
  <si>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</si>
  <si>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</si>
  <si>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</si>
  <si>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</si>
  <si>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</si>
  <si>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</si>
  <si>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</si>
  <si>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</si>
  <si>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</si>
  <si>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</si>
  <si>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</si>
  <si>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</si>
  <si>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</si>
  <si>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Indløb med riste, SRO</t>
  </si>
  <si>
    <t>Sand- og fedtfang, SRO</t>
  </si>
  <si>
    <t>Beluftningstanke, Konstruktioner</t>
  </si>
  <si>
    <t>Beluftningstanke, Mek/EL</t>
  </si>
  <si>
    <t>Beluftningstanke, SRO</t>
  </si>
  <si>
    <t>Efterklaringstanke, SRO</t>
  </si>
  <si>
    <t>Slutafvanding, slam - højteknologisk (centrifuger), SRO</t>
  </si>
  <si>
    <t>Tryksatte minipumpestationer (husstandssystemer)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</si>
  <si>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</si>
  <si>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</si>
  <si>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</si>
  <si>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Pumpeinstallation Miljøklasse A (1.000-1.500 l/s) - Mek/EL</t>
  </si>
  <si>
    <t>Jordbassin Klasse B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</si>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</sst>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0.0"/>
    <numFmt numFmtId="167" formatCode="\(#,##0\);#,##0_)"/>
    <numFmt numFmtId="168" formatCode="#,##0_);\(#,##0\);0_);@"/>
    <numFmt numFmtId="169" formatCode="#,##0,_);\(#,##0,\)"/>
    <numFmt numFmtId="170" formatCode="\(#,##0,\);#,##0,_)"/>
    <numFmt numFmtId="171" formatCode="\(#,##0.00\);#,##0.00_)"/>
    <numFmt numFmtId="172" formatCode="_-* #,##0.00_-;\-* #,##0.00_-;_-* &quot;-&quot;??_-;_-@_-"/>
    <numFmt numFmtId="173" formatCode="_ &quot;kr&quot;\ * #,##0.00_ ;_ &quot;kr&quot;\ * \-#,##0.00_ ;_ &quot;kr&quot;\ * &quot;-&quot;??_ ;_ @_ "/>
  </numFmts>
  <fonts count="5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15" applyNumberFormat="0" applyAlignment="0" applyProtection="0"/>
    <xf numFmtId="0" fontId="25" fillId="17" borderId="16" applyNumberFormat="0" applyAlignment="0" applyProtection="0"/>
    <xf numFmtId="0" fontId="26" fillId="17" borderId="15" applyNumberFormat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29" fillId="0" borderId="0" applyNumberFormat="0" applyFill="0" applyBorder="0" applyAlignment="0" applyProtection="0"/>
    <xf numFmtId="0" fontId="13" fillId="19" borderId="1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1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" fillId="4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43" borderId="0" applyNumberFormat="0" applyBorder="0" applyAlignment="0" applyProtection="0"/>
    <xf numFmtId="0" fontId="13" fillId="19" borderId="19" applyNumberFormat="0" applyFont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8" fontId="16" fillId="0" borderId="0"/>
    <xf numFmtId="3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3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9" fontId="33" fillId="0" borderId="0" applyFill="0" applyBorder="0" applyProtection="0">
      <alignment horizontal="center"/>
    </xf>
    <xf numFmtId="37" fontId="33" fillId="0" borderId="21" applyFill="0" applyAlignment="0" applyProtection="0"/>
    <xf numFmtId="167" fontId="33" fillId="0" borderId="21" applyFill="0" applyAlignment="0" applyProtection="0"/>
    <xf numFmtId="169" fontId="33" fillId="0" borderId="21" applyFill="0" applyAlignment="0" applyProtection="0"/>
    <xf numFmtId="170" fontId="33" fillId="0" borderId="21" applyFill="0" applyAlignment="0" applyProtection="0"/>
    <xf numFmtId="43" fontId="16" fillId="0" borderId="0" applyFont="0" applyFill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2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49" borderId="22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6" fillId="0" borderId="27" applyNumberFormat="0" applyFill="0" applyAlignment="0" applyProtection="0"/>
    <xf numFmtId="0" fontId="47" fillId="64" borderId="0" applyNumberFormat="0" applyBorder="0" applyAlignment="0" applyProtection="0"/>
    <xf numFmtId="0" fontId="16" fillId="65" borderId="28" applyNumberFormat="0" applyFont="0" applyAlignment="0" applyProtection="0"/>
    <xf numFmtId="0" fontId="48" fillId="62" borderId="29" applyNumberFormat="0" applyAlignment="0" applyProtection="0"/>
    <xf numFmtId="9" fontId="4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/>
    <xf numFmtId="37" fontId="52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37" fontId="52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8" fontId="16" fillId="0" borderId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37" fontId="52" fillId="0" borderId="0"/>
    <xf numFmtId="0" fontId="16" fillId="0" borderId="0"/>
    <xf numFmtId="0" fontId="16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53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55" fillId="0" borderId="0" applyNumberFormat="0" applyBorder="0" applyAlignment="0"/>
    <xf numFmtId="0" fontId="55" fillId="0" borderId="0" applyNumberFormat="0" applyBorder="0" applyAlignment="0"/>
    <xf numFmtId="0" fontId="13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0" borderId="0"/>
    <xf numFmtId="0" fontId="16" fillId="0" borderId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16" fillId="65" borderId="28" applyNumberFormat="0" applyFont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50" fillId="0" borderId="30" applyNumberFormat="0" applyFill="0" applyAlignment="0" applyProtection="0"/>
    <xf numFmtId="43" fontId="45" fillId="0" borderId="0" applyFont="0" applyFill="0" applyBorder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5" fillId="0" borderId="0" applyNumberFormat="0" applyBorder="0" applyAlignment="0"/>
    <xf numFmtId="0" fontId="16" fillId="0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3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5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13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6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6" t="s">
        <v>5</v>
      </c>
      <c r="E6" s="76"/>
      <c r="F6" s="76"/>
      <c r="G6" s="76"/>
      <c r="H6" s="4"/>
      <c r="I6" s="2"/>
    </row>
    <row r="7" spans="1:9" ht="15" customHeight="1" x14ac:dyDescent="0.25">
      <c r="A7" s="2"/>
      <c r="B7" s="2"/>
      <c r="C7" s="4"/>
      <c r="D7" s="76"/>
      <c r="E7" s="76"/>
      <c r="F7" s="76"/>
      <c r="G7" s="76"/>
      <c r="H7" s="4"/>
      <c r="I7" s="2"/>
    </row>
    <row r="8" spans="1:9" ht="15.75" x14ac:dyDescent="0.25">
      <c r="A8" s="2"/>
      <c r="B8" s="2"/>
      <c r="C8" s="5"/>
      <c r="D8" s="81" t="s">
        <v>124</v>
      </c>
      <c r="E8" s="81"/>
      <c r="F8" s="81"/>
      <c r="G8" s="8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80" t="s">
        <v>6</v>
      </c>
      <c r="E11" s="80"/>
      <c r="F11" s="80"/>
      <c r="G11" s="8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3" t="s">
        <v>69</v>
      </c>
      <c r="E13" s="74"/>
      <c r="F13" s="74"/>
      <c r="G13" s="75"/>
      <c r="H13" s="2"/>
      <c r="I13" s="2"/>
    </row>
    <row r="14" spans="1:9" x14ac:dyDescent="0.25">
      <c r="A14" s="2"/>
      <c r="B14" s="2"/>
      <c r="C14" s="7" t="s">
        <v>68</v>
      </c>
      <c r="D14" s="73" t="s">
        <v>70</v>
      </c>
      <c r="E14" s="74"/>
      <c r="F14" s="74"/>
      <c r="G14" s="75"/>
      <c r="H14" s="2"/>
      <c r="I14" s="2"/>
    </row>
    <row r="15" spans="1:9" x14ac:dyDescent="0.25">
      <c r="A15" s="2"/>
      <c r="B15" s="2"/>
      <c r="C15" s="7" t="s">
        <v>8</v>
      </c>
      <c r="D15" s="82" t="s">
        <v>63</v>
      </c>
      <c r="E15" s="83"/>
      <c r="F15" s="83"/>
      <c r="G15" s="84"/>
      <c r="H15" s="2"/>
      <c r="I15" s="2"/>
    </row>
    <row r="16" spans="1:9" x14ac:dyDescent="0.25">
      <c r="A16" s="2"/>
      <c r="B16" s="2"/>
      <c r="C16" s="7" t="s">
        <v>9</v>
      </c>
      <c r="D16" s="82" t="s">
        <v>49</v>
      </c>
      <c r="E16" s="83"/>
      <c r="F16" s="83"/>
      <c r="G16" s="84"/>
      <c r="H16" s="2"/>
      <c r="I16" s="2"/>
    </row>
    <row r="17" spans="1:9" x14ac:dyDescent="0.25">
      <c r="A17" s="2"/>
      <c r="B17" s="2"/>
      <c r="C17" s="7" t="s">
        <v>10</v>
      </c>
      <c r="D17" s="85" t="s">
        <v>15</v>
      </c>
      <c r="E17" s="86"/>
      <c r="F17" s="86"/>
      <c r="G17" s="87"/>
      <c r="H17" s="2"/>
      <c r="I17" s="2"/>
    </row>
    <row r="18" spans="1:9" x14ac:dyDescent="0.25">
      <c r="A18" s="2"/>
      <c r="B18" s="2"/>
      <c r="C18" s="7" t="s">
        <v>11</v>
      </c>
      <c r="D18" s="85" t="s">
        <v>16</v>
      </c>
      <c r="E18" s="86"/>
      <c r="F18" s="86"/>
      <c r="G18" s="87"/>
      <c r="H18" s="2"/>
      <c r="I18" s="2"/>
    </row>
    <row r="19" spans="1:9" x14ac:dyDescent="0.25">
      <c r="A19" s="2"/>
      <c r="B19" s="2"/>
      <c r="C19" s="7" t="s">
        <v>12</v>
      </c>
      <c r="D19" s="88" t="s">
        <v>17</v>
      </c>
      <c r="E19" s="89"/>
      <c r="F19" s="89"/>
      <c r="G19" s="90"/>
      <c r="H19" s="2"/>
      <c r="I19" s="2"/>
    </row>
    <row r="20" spans="1:9" x14ac:dyDescent="0.25">
      <c r="A20" s="2"/>
      <c r="B20" s="2"/>
      <c r="C20" s="7" t="s">
        <v>13</v>
      </c>
      <c r="D20" s="77" t="s">
        <v>75</v>
      </c>
      <c r="E20" s="78"/>
      <c r="F20" s="78"/>
      <c r="G20" s="79"/>
      <c r="H20" s="2"/>
      <c r="I20" s="2"/>
    </row>
    <row r="21" spans="1:9" x14ac:dyDescent="0.25">
      <c r="A21" s="2"/>
      <c r="B21" s="2"/>
      <c r="C21" s="7" t="s">
        <v>14</v>
      </c>
      <c r="D21" s="77" t="s">
        <v>100</v>
      </c>
      <c r="E21" s="78"/>
      <c r="F21" s="78"/>
      <c r="G21" s="79"/>
      <c r="H21" s="2"/>
      <c r="I21" s="2"/>
    </row>
    <row r="22" spans="1:9" x14ac:dyDescent="0.25">
      <c r="A22" s="2"/>
      <c r="B22" s="2"/>
      <c r="C22" s="7" t="s">
        <v>59</v>
      </c>
      <c r="D22" s="67" t="s">
        <v>144</v>
      </c>
      <c r="E22" s="68"/>
      <c r="F22" s="68"/>
      <c r="G22" s="69"/>
      <c r="H22" s="2"/>
      <c r="I22" s="2"/>
    </row>
    <row r="23" spans="1:9" x14ac:dyDescent="0.25">
      <c r="A23" s="2"/>
      <c r="B23" s="2"/>
      <c r="C23" s="7" t="s">
        <v>66</v>
      </c>
      <c r="D23" s="70" t="s">
        <v>65</v>
      </c>
      <c r="E23" s="71"/>
      <c r="F23" s="71"/>
      <c r="G23" s="72"/>
      <c r="H23" s="2"/>
      <c r="I23" s="2"/>
    </row>
    <row r="24" spans="1:9" x14ac:dyDescent="0.25">
      <c r="A24" s="2"/>
      <c r="B24" s="2"/>
      <c r="C24" s="7" t="s">
        <v>67</v>
      </c>
      <c r="D24" s="70" t="s">
        <v>64</v>
      </c>
      <c r="E24" s="71"/>
      <c r="F24" s="71"/>
      <c r="G24" s="7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73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54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95" t="s">
        <v>42</v>
      </c>
      <c r="C9" s="96"/>
      <c r="D9" s="96"/>
      <c r="E9" s="96"/>
      <c r="F9" s="97"/>
      <c r="G9" s="27">
        <v>-3302483</v>
      </c>
      <c r="H9" s="23" t="s">
        <v>4</v>
      </c>
      <c r="I9" s="2"/>
    </row>
    <row r="10" spans="1:9" x14ac:dyDescent="0.25">
      <c r="A10" s="2"/>
      <c r="B10" s="95" t="s">
        <v>122</v>
      </c>
      <c r="C10" s="96"/>
      <c r="D10" s="96"/>
      <c r="E10" s="96"/>
      <c r="F10" s="97"/>
      <c r="G10" s="27">
        <v>-3302483</v>
      </c>
      <c r="H10" s="23" t="s">
        <v>4</v>
      </c>
      <c r="I10" s="2"/>
    </row>
    <row r="11" spans="1:9" x14ac:dyDescent="0.25">
      <c r="A11" s="2"/>
      <c r="B11" s="123" t="s">
        <v>45</v>
      </c>
      <c r="C11" s="124"/>
      <c r="D11" s="124"/>
      <c r="E11" s="124"/>
      <c r="F11" s="125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96"/>
      <c r="D12" s="96"/>
      <c r="E12" s="96"/>
      <c r="F12" s="97"/>
      <c r="G12" s="27">
        <v>0</v>
      </c>
      <c r="H12" s="23" t="s">
        <v>127</v>
      </c>
      <c r="I12" s="2"/>
    </row>
    <row r="13" spans="1:9" x14ac:dyDescent="0.25">
      <c r="A13" s="2"/>
      <c r="B13" s="105" t="s">
        <v>41</v>
      </c>
      <c r="C13" s="106"/>
      <c r="D13" s="106"/>
      <c r="E13" s="106"/>
      <c r="F13" s="10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74</v>
      </c>
      <c r="C3" s="91"/>
      <c r="D3" s="91"/>
      <c r="E3" s="91"/>
      <c r="F3" s="91"/>
      <c r="G3" s="91"/>
      <c r="H3" s="2"/>
    </row>
    <row r="4" spans="1:8" ht="1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5" t="s">
        <v>75</v>
      </c>
      <c r="C8" s="106"/>
      <c r="D8" s="106"/>
      <c r="E8" s="106"/>
      <c r="F8" s="106"/>
      <c r="G8" s="10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6" t="s">
        <v>3</v>
      </c>
      <c r="G9" s="126"/>
      <c r="H9" s="2"/>
    </row>
    <row r="10" spans="1:8" x14ac:dyDescent="0.25">
      <c r="A10" s="2"/>
      <c r="B10" s="47" t="s">
        <v>196</v>
      </c>
      <c r="C10" s="41">
        <v>2016</v>
      </c>
      <c r="D10" s="28">
        <v>10</v>
      </c>
      <c r="E10" s="27">
        <v>114375</v>
      </c>
      <c r="F10" s="12">
        <v>11438</v>
      </c>
      <c r="G10" s="23" t="s">
        <v>4</v>
      </c>
      <c r="H10" s="2"/>
    </row>
    <row r="11" spans="1:8" x14ac:dyDescent="0.25">
      <c r="A11" s="2"/>
      <c r="B11" s="47" t="s">
        <v>197</v>
      </c>
      <c r="C11" s="41">
        <v>2016</v>
      </c>
      <c r="D11" s="28">
        <v>10</v>
      </c>
      <c r="E11" s="27">
        <v>114375</v>
      </c>
      <c r="F11" s="12">
        <v>11438</v>
      </c>
      <c r="G11" s="23" t="s">
        <v>4</v>
      </c>
      <c r="H11" s="2"/>
    </row>
    <row r="12" spans="1:8" x14ac:dyDescent="0.25">
      <c r="A12" s="2"/>
      <c r="B12" s="47" t="s">
        <v>198</v>
      </c>
      <c r="C12" s="41">
        <v>2016</v>
      </c>
      <c r="D12" s="28">
        <v>60</v>
      </c>
      <c r="E12" s="27">
        <v>14720023</v>
      </c>
      <c r="F12" s="12">
        <v>245334</v>
      </c>
      <c r="G12" s="23" t="s">
        <v>4</v>
      </c>
      <c r="H12" s="2"/>
    </row>
    <row r="13" spans="1:8" x14ac:dyDescent="0.25">
      <c r="A13" s="2"/>
      <c r="B13" s="47" t="s">
        <v>199</v>
      </c>
      <c r="C13" s="41">
        <v>2016</v>
      </c>
      <c r="D13" s="28">
        <v>20</v>
      </c>
      <c r="E13" s="27">
        <v>4514140</v>
      </c>
      <c r="F13" s="12">
        <v>225707</v>
      </c>
      <c r="G13" s="23" t="s">
        <v>4</v>
      </c>
      <c r="H13" s="2"/>
    </row>
    <row r="14" spans="1:8" x14ac:dyDescent="0.25">
      <c r="A14" s="2"/>
      <c r="B14" s="47" t="s">
        <v>200</v>
      </c>
      <c r="C14" s="41">
        <v>2016</v>
      </c>
      <c r="D14" s="28">
        <v>10</v>
      </c>
      <c r="E14" s="27">
        <v>617345</v>
      </c>
      <c r="F14" s="12">
        <v>61734</v>
      </c>
      <c r="G14" s="23" t="s">
        <v>4</v>
      </c>
      <c r="H14" s="2"/>
    </row>
    <row r="15" spans="1:8" x14ac:dyDescent="0.25">
      <c r="A15" s="2"/>
      <c r="B15" s="47" t="s">
        <v>201</v>
      </c>
      <c r="C15" s="41">
        <v>2016</v>
      </c>
      <c r="D15" s="28">
        <v>10</v>
      </c>
      <c r="E15" s="27">
        <v>114375</v>
      </c>
      <c r="F15" s="12">
        <v>11438</v>
      </c>
      <c r="G15" s="23" t="s">
        <v>4</v>
      </c>
      <c r="H15" s="2"/>
    </row>
    <row r="16" spans="1:8" ht="26.25" x14ac:dyDescent="0.25">
      <c r="A16" s="2"/>
      <c r="B16" s="47" t="s">
        <v>202</v>
      </c>
      <c r="C16" s="41">
        <v>2016</v>
      </c>
      <c r="D16" s="28">
        <v>10</v>
      </c>
      <c r="E16" s="27">
        <v>114375</v>
      </c>
      <c r="F16" s="12">
        <v>11438</v>
      </c>
      <c r="G16" s="23" t="s">
        <v>4</v>
      </c>
      <c r="H16" s="2"/>
    </row>
    <row r="17" spans="1:8" x14ac:dyDescent="0.25">
      <c r="A17" s="2"/>
      <c r="B17" s="47" t="s">
        <v>161</v>
      </c>
      <c r="C17" s="41">
        <v>2016</v>
      </c>
      <c r="D17" s="28">
        <v>75</v>
      </c>
      <c r="E17" s="27">
        <v>5371952</v>
      </c>
      <c r="F17" s="12">
        <v>71626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14008621</v>
      </c>
      <c r="F18" s="12">
        <v>186782</v>
      </c>
      <c r="G18" s="23" t="s">
        <v>4</v>
      </c>
      <c r="H18" s="2"/>
    </row>
    <row r="19" spans="1:8" x14ac:dyDescent="0.25">
      <c r="A19" s="2"/>
      <c r="B19" s="47" t="s">
        <v>160</v>
      </c>
      <c r="C19" s="41">
        <v>2016</v>
      </c>
      <c r="D19" s="28">
        <v>50</v>
      </c>
      <c r="E19" s="27">
        <v>1553312</v>
      </c>
      <c r="F19" s="12">
        <v>31066</v>
      </c>
      <c r="G19" s="23" t="s">
        <v>4</v>
      </c>
      <c r="H19" s="2"/>
    </row>
    <row r="20" spans="1:8" ht="26.25" x14ac:dyDescent="0.25">
      <c r="A20" s="2"/>
      <c r="B20" s="47" t="s">
        <v>163</v>
      </c>
      <c r="C20" s="41">
        <v>2016</v>
      </c>
      <c r="D20" s="28">
        <v>50</v>
      </c>
      <c r="E20" s="27">
        <v>2372933</v>
      </c>
      <c r="F20" s="12">
        <v>47459</v>
      </c>
      <c r="G20" s="23" t="s">
        <v>4</v>
      </c>
      <c r="H20" s="2"/>
    </row>
    <row r="21" spans="1:8" x14ac:dyDescent="0.25">
      <c r="A21" s="2"/>
      <c r="B21" s="47" t="s">
        <v>153</v>
      </c>
      <c r="C21" s="41">
        <v>2016</v>
      </c>
      <c r="D21" s="28">
        <v>75</v>
      </c>
      <c r="E21" s="27">
        <v>7384434</v>
      </c>
      <c r="F21" s="12">
        <v>98459</v>
      </c>
      <c r="G21" s="23" t="s">
        <v>4</v>
      </c>
      <c r="H21" s="2"/>
    </row>
    <row r="22" spans="1:8" x14ac:dyDescent="0.25">
      <c r="A22" s="2"/>
      <c r="B22" s="47" t="s">
        <v>152</v>
      </c>
      <c r="C22" s="41">
        <v>2016</v>
      </c>
      <c r="D22" s="28">
        <v>75</v>
      </c>
      <c r="E22" s="27">
        <v>930350</v>
      </c>
      <c r="F22" s="12">
        <v>12405</v>
      </c>
      <c r="G22" s="23" t="s">
        <v>4</v>
      </c>
      <c r="H22" s="2"/>
    </row>
    <row r="23" spans="1:8" ht="26.25" x14ac:dyDescent="0.25">
      <c r="A23" s="2"/>
      <c r="B23" s="47" t="s">
        <v>203</v>
      </c>
      <c r="C23" s="41">
        <v>2016</v>
      </c>
      <c r="D23" s="28">
        <v>30</v>
      </c>
      <c r="E23" s="27">
        <v>100000</v>
      </c>
      <c r="F23" s="12">
        <v>3333</v>
      </c>
      <c r="G23" s="23" t="s">
        <v>4</v>
      </c>
      <c r="H23" s="2"/>
    </row>
    <row r="24" spans="1:8" ht="26.25" x14ac:dyDescent="0.25">
      <c r="A24" s="2"/>
      <c r="B24" s="47" t="s">
        <v>150</v>
      </c>
      <c r="C24" s="41">
        <v>2016</v>
      </c>
      <c r="D24" s="28">
        <v>50</v>
      </c>
      <c r="E24" s="27">
        <v>2744025</v>
      </c>
      <c r="F24" s="12">
        <v>54880</v>
      </c>
      <c r="G24" s="23" t="s">
        <v>4</v>
      </c>
      <c r="H24" s="2"/>
    </row>
    <row r="25" spans="1:8" x14ac:dyDescent="0.25">
      <c r="A25" s="2"/>
      <c r="B25" s="47" t="s">
        <v>149</v>
      </c>
      <c r="C25" s="41">
        <v>2016</v>
      </c>
      <c r="D25" s="28">
        <v>20</v>
      </c>
      <c r="E25" s="27">
        <v>1155810</v>
      </c>
      <c r="F25" s="12">
        <v>57790</v>
      </c>
      <c r="G25" s="23" t="s">
        <v>4</v>
      </c>
      <c r="H25" s="2"/>
    </row>
    <row r="26" spans="1:8" x14ac:dyDescent="0.25">
      <c r="A26" s="2"/>
      <c r="B26" s="47" t="s">
        <v>151</v>
      </c>
      <c r="C26" s="41">
        <v>2016</v>
      </c>
      <c r="D26" s="28">
        <v>10</v>
      </c>
      <c r="E26" s="27">
        <v>532454</v>
      </c>
      <c r="F26" s="12">
        <v>53245</v>
      </c>
      <c r="G26" s="23" t="s">
        <v>4</v>
      </c>
      <c r="H26" s="2"/>
    </row>
    <row r="27" spans="1:8" x14ac:dyDescent="0.25">
      <c r="A27" s="2"/>
      <c r="B27" s="47" t="s">
        <v>159</v>
      </c>
      <c r="C27" s="41">
        <v>2016</v>
      </c>
      <c r="D27" s="28">
        <v>10</v>
      </c>
      <c r="E27" s="27">
        <v>110436</v>
      </c>
      <c r="F27" s="12">
        <v>11044</v>
      </c>
      <c r="G27" s="23" t="s">
        <v>4</v>
      </c>
      <c r="H27" s="2"/>
    </row>
    <row r="28" spans="1:8" ht="26.25" x14ac:dyDescent="0.25">
      <c r="A28" s="2"/>
      <c r="B28" s="47" t="s">
        <v>204</v>
      </c>
      <c r="C28" s="41">
        <v>2016</v>
      </c>
      <c r="D28" s="28">
        <v>50</v>
      </c>
      <c r="E28" s="27">
        <v>199709</v>
      </c>
      <c r="F28" s="12">
        <v>3994</v>
      </c>
      <c r="G28" s="23" t="s">
        <v>4</v>
      </c>
      <c r="H28" s="2"/>
    </row>
    <row r="29" spans="1:8" ht="26.25" x14ac:dyDescent="0.25">
      <c r="A29" s="2"/>
      <c r="B29" s="47" t="s">
        <v>205</v>
      </c>
      <c r="C29" s="41">
        <v>2016</v>
      </c>
      <c r="D29" s="28">
        <v>20</v>
      </c>
      <c r="E29" s="27">
        <v>199709</v>
      </c>
      <c r="F29" s="12">
        <v>9985</v>
      </c>
      <c r="G29" s="23" t="s">
        <v>4</v>
      </c>
      <c r="H29" s="2"/>
    </row>
    <row r="30" spans="1:8" ht="26.25" x14ac:dyDescent="0.25">
      <c r="A30" s="2"/>
      <c r="B30" s="47" t="s">
        <v>206</v>
      </c>
      <c r="C30" s="41">
        <v>2016</v>
      </c>
      <c r="D30" s="28">
        <v>10</v>
      </c>
      <c r="E30" s="27">
        <v>310145</v>
      </c>
      <c r="F30" s="12">
        <v>31014</v>
      </c>
      <c r="G30" s="23" t="s">
        <v>4</v>
      </c>
      <c r="H30" s="2"/>
    </row>
    <row r="31" spans="1:8" ht="26.25" x14ac:dyDescent="0.25">
      <c r="A31" s="2"/>
      <c r="B31" s="47" t="s">
        <v>207</v>
      </c>
      <c r="C31" s="41">
        <v>2016</v>
      </c>
      <c r="D31" s="28">
        <v>20</v>
      </c>
      <c r="E31" s="27">
        <v>262514</v>
      </c>
      <c r="F31" s="12">
        <v>13126</v>
      </c>
      <c r="G31" s="23" t="s">
        <v>4</v>
      </c>
      <c r="H31" s="2"/>
    </row>
    <row r="32" spans="1:8" x14ac:dyDescent="0.25">
      <c r="A32" s="2"/>
      <c r="B32" s="47" t="s">
        <v>208</v>
      </c>
      <c r="C32" s="41">
        <v>2016</v>
      </c>
      <c r="D32" s="28">
        <v>50</v>
      </c>
      <c r="E32" s="27">
        <v>3406624</v>
      </c>
      <c r="F32" s="12">
        <v>68132</v>
      </c>
      <c r="G32" s="23" t="s">
        <v>4</v>
      </c>
      <c r="H32" s="2"/>
    </row>
    <row r="33" spans="1:8" ht="26.25" x14ac:dyDescent="0.25">
      <c r="A33" s="2"/>
      <c r="B33" s="47" t="s">
        <v>158</v>
      </c>
      <c r="C33" s="41">
        <v>2016</v>
      </c>
      <c r="D33" s="28">
        <v>75</v>
      </c>
      <c r="E33" s="27">
        <v>1098665</v>
      </c>
      <c r="F33" s="12">
        <v>14649</v>
      </c>
      <c r="G33" s="23" t="s">
        <v>4</v>
      </c>
      <c r="H33" s="2"/>
    </row>
    <row r="34" spans="1:8" x14ac:dyDescent="0.25">
      <c r="A34" s="2"/>
      <c r="B34" s="47" t="s">
        <v>157</v>
      </c>
      <c r="C34" s="41">
        <v>2016</v>
      </c>
      <c r="D34" s="28">
        <v>5</v>
      </c>
      <c r="E34" s="27">
        <v>37245</v>
      </c>
      <c r="F34" s="12">
        <v>7449</v>
      </c>
      <c r="G34" s="23" t="s">
        <v>4</v>
      </c>
      <c r="H34" s="2"/>
    </row>
    <row r="35" spans="1:8" x14ac:dyDescent="0.25">
      <c r="A35" s="2"/>
      <c r="B35" s="47" t="s">
        <v>156</v>
      </c>
      <c r="C35" s="41">
        <v>2016</v>
      </c>
      <c r="D35" s="28">
        <v>5</v>
      </c>
      <c r="E35" s="27">
        <v>315794</v>
      </c>
      <c r="F35" s="12">
        <v>63159</v>
      </c>
      <c r="G35" s="23" t="s">
        <v>4</v>
      </c>
      <c r="H35" s="2"/>
    </row>
    <row r="36" spans="1:8" x14ac:dyDescent="0.25">
      <c r="A36" s="2"/>
      <c r="B36" s="47" t="s">
        <v>155</v>
      </c>
      <c r="C36" s="41">
        <v>2016</v>
      </c>
      <c r="D36" s="28">
        <v>75</v>
      </c>
      <c r="E36" s="27">
        <v>129780</v>
      </c>
      <c r="F36" s="12">
        <v>1730</v>
      </c>
      <c r="G36" s="23" t="s">
        <v>4</v>
      </c>
      <c r="H36" s="2"/>
    </row>
    <row r="37" spans="1:8" x14ac:dyDescent="0.25">
      <c r="A37" s="2"/>
      <c r="B37" s="47" t="s">
        <v>162</v>
      </c>
      <c r="C37" s="41">
        <v>2016</v>
      </c>
      <c r="D37" s="28">
        <v>75</v>
      </c>
      <c r="E37" s="27">
        <v>933752</v>
      </c>
      <c r="F37" s="12">
        <v>12450</v>
      </c>
      <c r="G37" s="23" t="s">
        <v>4</v>
      </c>
      <c r="H37" s="2"/>
    </row>
    <row r="38" spans="1:8" x14ac:dyDescent="0.25">
      <c r="A38" s="2"/>
      <c r="B38" s="105" t="s">
        <v>76</v>
      </c>
      <c r="C38" s="106"/>
      <c r="D38" s="106"/>
      <c r="E38" s="107"/>
      <c r="F38" s="21">
        <f>SUM(F10:F37)</f>
        <v>1432304</v>
      </c>
      <c r="G38" s="22" t="s">
        <v>4</v>
      </c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</sheetData>
  <sheetProtection password="DFE9" sheet="1" objects="1" scenarios="1"/>
  <mergeCells count="4">
    <mergeCell ref="B38:E3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13" t="s">
        <v>77</v>
      </c>
      <c r="C3" s="113"/>
      <c r="D3" s="113"/>
      <c r="E3" s="113"/>
      <c r="F3" s="113"/>
      <c r="G3" s="113"/>
      <c r="H3" s="113"/>
      <c r="I3" s="2"/>
    </row>
    <row r="4" spans="1:9" ht="15" customHeight="1" x14ac:dyDescent="0.25">
      <c r="A4" s="2"/>
      <c r="B4" s="113"/>
      <c r="C4" s="113"/>
      <c r="D4" s="113"/>
      <c r="E4" s="113"/>
      <c r="F4" s="113"/>
      <c r="G4" s="113"/>
      <c r="H4" s="11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10" t="s">
        <v>184</v>
      </c>
      <c r="C8" s="111"/>
      <c r="D8" s="111"/>
      <c r="E8" s="111"/>
      <c r="F8" s="111"/>
      <c r="G8" s="111"/>
      <c r="H8" s="112"/>
      <c r="I8" s="2"/>
    </row>
    <row r="9" spans="1:9" x14ac:dyDescent="0.25">
      <c r="A9" s="2"/>
      <c r="B9" s="95" t="s">
        <v>80</v>
      </c>
      <c r="C9" s="96"/>
      <c r="D9" s="96"/>
      <c r="E9" s="96"/>
      <c r="F9" s="97"/>
      <c r="G9" s="27">
        <v>1232118</v>
      </c>
      <c r="H9" s="23" t="s">
        <v>4</v>
      </c>
      <c r="I9" s="2"/>
    </row>
    <row r="10" spans="1:9" x14ac:dyDescent="0.25">
      <c r="A10" s="2"/>
      <c r="B10" s="95" t="s">
        <v>81</v>
      </c>
      <c r="C10" s="96"/>
      <c r="D10" s="96"/>
      <c r="E10" s="96"/>
      <c r="F10" s="97"/>
      <c r="G10" s="27">
        <v>1482600</v>
      </c>
      <c r="H10" s="23" t="s">
        <v>4</v>
      </c>
      <c r="I10" s="2"/>
    </row>
    <row r="11" spans="1:9" x14ac:dyDescent="0.25">
      <c r="A11" s="2"/>
      <c r="B11" s="105" t="s">
        <v>185</v>
      </c>
      <c r="C11" s="106"/>
      <c r="D11" s="106"/>
      <c r="E11" s="106"/>
      <c r="F11" s="107"/>
      <c r="G11" s="21">
        <f>G9-G10</f>
        <v>-250482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10" t="s">
        <v>186</v>
      </c>
      <c r="C14" s="111"/>
      <c r="D14" s="111"/>
      <c r="E14" s="111"/>
      <c r="F14" s="111"/>
      <c r="G14" s="111"/>
      <c r="H14" s="112"/>
      <c r="I14" s="2"/>
    </row>
    <row r="15" spans="1:9" x14ac:dyDescent="0.25">
      <c r="A15" s="2"/>
      <c r="B15" s="95" t="s">
        <v>82</v>
      </c>
      <c r="C15" s="96"/>
      <c r="D15" s="96"/>
      <c r="E15" s="96"/>
      <c r="F15" s="97"/>
      <c r="G15" s="27">
        <v>832207</v>
      </c>
      <c r="H15" s="23" t="s">
        <v>4</v>
      </c>
      <c r="I15" s="2"/>
    </row>
    <row r="16" spans="1:9" x14ac:dyDescent="0.25">
      <c r="A16" s="2"/>
      <c r="B16" s="95" t="s">
        <v>83</v>
      </c>
      <c r="C16" s="96"/>
      <c r="D16" s="96"/>
      <c r="E16" s="96"/>
      <c r="F16" s="97"/>
      <c r="G16" s="27">
        <v>900000</v>
      </c>
      <c r="H16" s="23" t="s">
        <v>4</v>
      </c>
      <c r="I16" s="2"/>
    </row>
    <row r="17" spans="1:9" x14ac:dyDescent="0.25">
      <c r="A17" s="2"/>
      <c r="B17" s="105" t="s">
        <v>186</v>
      </c>
      <c r="C17" s="106"/>
      <c r="D17" s="106"/>
      <c r="E17" s="106"/>
      <c r="F17" s="107"/>
      <c r="G17" s="21">
        <f>G15-G16</f>
        <v>-67793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10" t="s">
        <v>187</v>
      </c>
      <c r="C20" s="111"/>
      <c r="D20" s="111"/>
      <c r="E20" s="111"/>
      <c r="F20" s="111"/>
      <c r="G20" s="111"/>
      <c r="H20" s="112"/>
      <c r="I20" s="2"/>
    </row>
    <row r="21" spans="1:9" x14ac:dyDescent="0.25">
      <c r="A21" s="2"/>
      <c r="B21" s="95" t="s">
        <v>84</v>
      </c>
      <c r="C21" s="96"/>
      <c r="D21" s="96"/>
      <c r="E21" s="96"/>
      <c r="F21" s="97"/>
      <c r="G21" s="27">
        <v>163818</v>
      </c>
      <c r="H21" s="23" t="s">
        <v>4</v>
      </c>
      <c r="I21" s="2"/>
    </row>
    <row r="22" spans="1:9" x14ac:dyDescent="0.25">
      <c r="A22" s="2"/>
      <c r="B22" s="95" t="s">
        <v>85</v>
      </c>
      <c r="C22" s="96"/>
      <c r="D22" s="96"/>
      <c r="E22" s="96"/>
      <c r="F22" s="97"/>
      <c r="G22" s="27">
        <v>148000</v>
      </c>
      <c r="H22" s="23" t="s">
        <v>4</v>
      </c>
      <c r="I22" s="2"/>
    </row>
    <row r="23" spans="1:9" x14ac:dyDescent="0.25">
      <c r="A23" s="2"/>
      <c r="B23" s="105" t="s">
        <v>187</v>
      </c>
      <c r="C23" s="106"/>
      <c r="D23" s="106"/>
      <c r="E23" s="106"/>
      <c r="F23" s="107"/>
      <c r="G23" s="21">
        <f>G21-G22</f>
        <v>15818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10" t="s">
        <v>188</v>
      </c>
      <c r="C26" s="111"/>
      <c r="D26" s="111"/>
      <c r="E26" s="111"/>
      <c r="F26" s="111"/>
      <c r="G26" s="111"/>
      <c r="H26" s="112"/>
      <c r="I26" s="2"/>
    </row>
    <row r="27" spans="1:9" ht="29.25" customHeight="1" x14ac:dyDescent="0.25">
      <c r="A27" s="2"/>
      <c r="B27" s="92" t="s">
        <v>86</v>
      </c>
      <c r="C27" s="93"/>
      <c r="D27" s="93"/>
      <c r="E27" s="93"/>
      <c r="F27" s="94"/>
      <c r="G27" s="27">
        <v>0</v>
      </c>
      <c r="H27" s="23" t="s">
        <v>4</v>
      </c>
      <c r="I27" s="2"/>
    </row>
    <row r="28" spans="1:9" x14ac:dyDescent="0.25">
      <c r="A28" s="2"/>
      <c r="B28" s="95" t="s">
        <v>87</v>
      </c>
      <c r="C28" s="96"/>
      <c r="D28" s="96"/>
      <c r="E28" s="96"/>
      <c r="F28" s="97"/>
      <c r="G28" s="27">
        <v>0</v>
      </c>
      <c r="H28" s="23" t="s">
        <v>4</v>
      </c>
      <c r="I28" s="2"/>
    </row>
    <row r="29" spans="1:9" ht="15" customHeight="1" x14ac:dyDescent="0.25">
      <c r="A29" s="2"/>
      <c r="B29" s="110" t="s">
        <v>188</v>
      </c>
      <c r="C29" s="111"/>
      <c r="D29" s="111"/>
      <c r="E29" s="111"/>
      <c r="F29" s="112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10" t="s">
        <v>88</v>
      </c>
      <c r="C32" s="111"/>
      <c r="D32" s="111"/>
      <c r="E32" s="111"/>
      <c r="F32" s="111"/>
      <c r="G32" s="111"/>
      <c r="H32" s="112"/>
      <c r="I32" s="2"/>
    </row>
    <row r="33" spans="1:9" x14ac:dyDescent="0.25">
      <c r="A33" s="2"/>
      <c r="B33" s="95" t="s">
        <v>89</v>
      </c>
      <c r="C33" s="96"/>
      <c r="D33" s="96"/>
      <c r="E33" s="96"/>
      <c r="F33" s="97"/>
      <c r="G33" s="12">
        <f>'Fane 8. Gen. inv. i 2016'!F38</f>
        <v>1432304</v>
      </c>
      <c r="H33" s="23" t="s">
        <v>4</v>
      </c>
      <c r="I33" s="2"/>
    </row>
    <row r="34" spans="1:9" x14ac:dyDescent="0.25">
      <c r="A34" s="2"/>
      <c r="B34" s="95" t="s">
        <v>90</v>
      </c>
      <c r="C34" s="96"/>
      <c r="D34" s="96"/>
      <c r="E34" s="96"/>
      <c r="F34" s="97"/>
      <c r="G34" s="27">
        <v>2103333</v>
      </c>
      <c r="H34" s="23" t="s">
        <v>4</v>
      </c>
      <c r="I34" s="2"/>
    </row>
    <row r="35" spans="1:9" x14ac:dyDescent="0.25">
      <c r="A35" s="2"/>
      <c r="B35" s="105" t="s">
        <v>88</v>
      </c>
      <c r="C35" s="106"/>
      <c r="D35" s="106"/>
      <c r="E35" s="106"/>
      <c r="F35" s="107"/>
      <c r="G35" s="21">
        <f>G33-G34</f>
        <v>-671029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105" t="s">
        <v>189</v>
      </c>
      <c r="C38" s="106"/>
      <c r="D38" s="106"/>
      <c r="E38" s="106"/>
      <c r="F38" s="106"/>
      <c r="G38" s="106"/>
      <c r="H38" s="107"/>
      <c r="I38" s="2"/>
    </row>
    <row r="39" spans="1:9" x14ac:dyDescent="0.25">
      <c r="A39" s="2"/>
      <c r="B39" s="95" t="s">
        <v>146</v>
      </c>
      <c r="C39" s="96"/>
      <c r="D39" s="96"/>
      <c r="E39" s="96"/>
      <c r="F39" s="97"/>
      <c r="G39" s="27">
        <v>1557019</v>
      </c>
      <c r="H39" s="23" t="s">
        <v>4</v>
      </c>
      <c r="I39" s="2"/>
    </row>
    <row r="40" spans="1:9" x14ac:dyDescent="0.25">
      <c r="A40" s="2"/>
      <c r="B40" s="95" t="s">
        <v>79</v>
      </c>
      <c r="C40" s="96"/>
      <c r="D40" s="96"/>
      <c r="E40" s="96"/>
      <c r="F40" s="97"/>
      <c r="G40" s="27">
        <v>1300000</v>
      </c>
      <c r="H40" s="23" t="s">
        <v>4</v>
      </c>
      <c r="I40" s="2"/>
    </row>
    <row r="41" spans="1:9" x14ac:dyDescent="0.25">
      <c r="A41" s="2"/>
      <c r="B41" s="105" t="s">
        <v>189</v>
      </c>
      <c r="C41" s="106"/>
      <c r="D41" s="106"/>
      <c r="E41" s="106"/>
      <c r="F41" s="107"/>
      <c r="G41" s="21">
        <f>G39-G40</f>
        <v>257019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13" t="s">
        <v>91</v>
      </c>
      <c r="C3" s="113"/>
      <c r="D3" s="113"/>
      <c r="E3" s="113"/>
      <c r="F3" s="113"/>
      <c r="G3" s="113"/>
      <c r="H3" s="113"/>
      <c r="I3" s="2"/>
    </row>
    <row r="4" spans="1:9" ht="15" customHeight="1" x14ac:dyDescent="0.25">
      <c r="A4" s="2"/>
      <c r="B4" s="113"/>
      <c r="C4" s="113"/>
      <c r="D4" s="113"/>
      <c r="E4" s="113"/>
      <c r="F4" s="113"/>
      <c r="G4" s="113"/>
      <c r="H4" s="11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92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02" t="s">
        <v>93</v>
      </c>
      <c r="C9" s="103"/>
      <c r="D9" s="103"/>
      <c r="E9" s="103"/>
      <c r="F9" s="104"/>
      <c r="G9" s="26">
        <v>86052162.460784331</v>
      </c>
      <c r="H9" s="38" t="s">
        <v>4</v>
      </c>
      <c r="I9" s="2"/>
    </row>
    <row r="10" spans="1:9" x14ac:dyDescent="0.25">
      <c r="A10" s="2"/>
      <c r="B10" s="105" t="s">
        <v>94</v>
      </c>
      <c r="C10" s="106"/>
      <c r="D10" s="106"/>
      <c r="E10" s="106"/>
      <c r="F10" s="106"/>
      <c r="G10" s="106"/>
      <c r="H10" s="107"/>
      <c r="I10" s="2"/>
    </row>
    <row r="11" spans="1:9" x14ac:dyDescent="0.25">
      <c r="A11" s="2"/>
      <c r="B11" s="95" t="s">
        <v>19</v>
      </c>
      <c r="C11" s="96"/>
      <c r="D11" s="97"/>
      <c r="E11" s="27">
        <v>35653565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95</v>
      </c>
      <c r="C12" s="96"/>
      <c r="D12" s="97"/>
      <c r="E12" s="27">
        <v>7832137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96</v>
      </c>
      <c r="C13" s="96"/>
      <c r="D13" s="97"/>
      <c r="E13" s="27">
        <v>2102009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97</v>
      </c>
      <c r="C14" s="96"/>
      <c r="D14" s="97"/>
      <c r="E14" s="27">
        <v>4143333</v>
      </c>
      <c r="F14" s="23" t="s">
        <v>4</v>
      </c>
      <c r="G14" s="15"/>
      <c r="H14" s="43"/>
      <c r="I14" s="2"/>
    </row>
    <row r="15" spans="1:9" x14ac:dyDescent="0.25">
      <c r="A15" s="2"/>
      <c r="B15" s="102" t="s">
        <v>20</v>
      </c>
      <c r="C15" s="103"/>
      <c r="D15" s="104"/>
      <c r="E15" s="18">
        <f>SUM(E11:E14)</f>
        <v>49731044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96"/>
      <c r="D16" s="97"/>
      <c r="E16" s="27">
        <v>4181002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96"/>
      <c r="D17" s="9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96"/>
      <c r="D18" s="9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2" t="s">
        <v>24</v>
      </c>
      <c r="C19" s="103"/>
      <c r="D19" s="104"/>
      <c r="E19" s="18">
        <f>SUM(E16:E18)</f>
        <v>4181002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2" t="s">
        <v>25</v>
      </c>
      <c r="C20" s="93"/>
      <c r="D20" s="94"/>
      <c r="E20" s="27">
        <v>-2935153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2" t="s">
        <v>26</v>
      </c>
      <c r="C21" s="93"/>
      <c r="D21" s="94"/>
      <c r="E21" s="27">
        <v>-50847815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96"/>
      <c r="D22" s="97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96"/>
      <c r="D23" s="97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2" t="s">
        <v>29</v>
      </c>
      <c r="C24" s="93"/>
      <c r="D24" s="94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2" t="s">
        <v>30</v>
      </c>
      <c r="C25" s="93"/>
      <c r="D25" s="94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2" t="s">
        <v>31</v>
      </c>
      <c r="C26" s="93"/>
      <c r="D26" s="94"/>
      <c r="E26" s="27">
        <v>-129079</v>
      </c>
      <c r="F26" s="23" t="s">
        <v>4</v>
      </c>
      <c r="G26" s="15"/>
      <c r="H26" s="43"/>
      <c r="I26" s="2"/>
    </row>
    <row r="27" spans="1:9" x14ac:dyDescent="0.25">
      <c r="A27" s="2"/>
      <c r="B27" s="102" t="s">
        <v>32</v>
      </c>
      <c r="C27" s="103"/>
      <c r="D27" s="104"/>
      <c r="E27" s="18">
        <f>SUM(E20:E26)</f>
        <v>-53912047</v>
      </c>
      <c r="F27" s="38" t="s">
        <v>4</v>
      </c>
      <c r="G27" s="16"/>
      <c r="H27" s="44"/>
      <c r="I27" s="2"/>
    </row>
    <row r="28" spans="1:9" x14ac:dyDescent="0.25">
      <c r="A28" s="2"/>
      <c r="B28" s="102" t="s">
        <v>33</v>
      </c>
      <c r="C28" s="103"/>
      <c r="D28" s="104"/>
      <c r="E28" s="18">
        <f>E15+E19+E27</f>
        <v>-1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105" t="s">
        <v>98</v>
      </c>
      <c r="C29" s="106"/>
      <c r="D29" s="106"/>
      <c r="E29" s="106"/>
      <c r="F29" s="106"/>
      <c r="G29" s="106"/>
      <c r="H29" s="107"/>
      <c r="I29" s="2"/>
    </row>
    <row r="30" spans="1:9" x14ac:dyDescent="0.25">
      <c r="A30" s="2"/>
      <c r="B30" s="102" t="s">
        <v>98</v>
      </c>
      <c r="C30" s="103"/>
      <c r="D30" s="104"/>
      <c r="E30" s="26">
        <v>8520353.510784328</v>
      </c>
      <c r="F30" s="38" t="s">
        <v>4</v>
      </c>
      <c r="G30" s="18">
        <f>-$E$30</f>
        <v>-8520353.510784328</v>
      </c>
      <c r="H30" s="38" t="s">
        <v>4</v>
      </c>
      <c r="I30" s="2"/>
    </row>
    <row r="31" spans="1:9" x14ac:dyDescent="0.25">
      <c r="A31" s="2"/>
      <c r="B31" s="127" t="s">
        <v>57</v>
      </c>
      <c r="C31" s="106"/>
      <c r="D31" s="106"/>
      <c r="E31" s="106"/>
      <c r="F31" s="106"/>
      <c r="G31" s="106"/>
      <c r="H31" s="107"/>
      <c r="I31" s="2"/>
    </row>
    <row r="32" spans="1:9" ht="30" customHeight="1" x14ac:dyDescent="0.25">
      <c r="A32" s="2"/>
      <c r="B32" s="92" t="s">
        <v>58</v>
      </c>
      <c r="C32" s="93"/>
      <c r="D32" s="94"/>
      <c r="E32" s="27">
        <v>72999678.980000004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96"/>
      <c r="D33" s="9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2" t="s">
        <v>35</v>
      </c>
      <c r="C34" s="93"/>
      <c r="D34" s="94"/>
      <c r="E34" s="27">
        <v>4532129.97</v>
      </c>
      <c r="F34" s="23" t="s">
        <v>4</v>
      </c>
      <c r="G34" s="16"/>
      <c r="H34" s="44"/>
      <c r="I34" s="2"/>
    </row>
    <row r="35" spans="1:9" x14ac:dyDescent="0.25">
      <c r="A35" s="2"/>
      <c r="B35" s="102" t="s">
        <v>36</v>
      </c>
      <c r="C35" s="103"/>
      <c r="D35" s="104"/>
      <c r="E35" s="18">
        <f>SUM(E32:E34)</f>
        <v>77531808.950000003</v>
      </c>
      <c r="F35" s="38" t="s">
        <v>4</v>
      </c>
      <c r="G35" s="18">
        <f>-E35</f>
        <v>-77531808.950000003</v>
      </c>
      <c r="H35" s="38" t="s">
        <v>4</v>
      </c>
      <c r="I35" s="2"/>
    </row>
    <row r="36" spans="1:9" x14ac:dyDescent="0.25">
      <c r="A36" s="2"/>
      <c r="B36" s="105" t="s">
        <v>99</v>
      </c>
      <c r="C36" s="106"/>
      <c r="D36" s="106"/>
      <c r="E36" s="106"/>
      <c r="F36" s="107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128</v>
      </c>
      <c r="C3" s="91"/>
      <c r="D3" s="91"/>
      <c r="E3" s="91"/>
      <c r="F3" s="91"/>
      <c r="G3" s="91"/>
      <c r="H3" s="2"/>
    </row>
    <row r="4" spans="1:8" ht="1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5" t="s">
        <v>181</v>
      </c>
      <c r="C8" s="106"/>
      <c r="D8" s="106"/>
      <c r="E8" s="106"/>
      <c r="F8" s="106"/>
      <c r="G8" s="107"/>
      <c r="H8" s="2"/>
    </row>
    <row r="9" spans="1:8" ht="29.25" customHeight="1" x14ac:dyDescent="0.25">
      <c r="A9" s="2"/>
      <c r="B9" s="98" t="s">
        <v>118</v>
      </c>
      <c r="C9" s="100"/>
      <c r="D9" s="126" t="s">
        <v>47</v>
      </c>
      <c r="E9" s="126"/>
      <c r="F9" s="126" t="s">
        <v>129</v>
      </c>
      <c r="G9" s="126"/>
      <c r="H9" s="2"/>
    </row>
    <row r="10" spans="1:8" x14ac:dyDescent="0.25">
      <c r="A10" s="2"/>
      <c r="B10" s="128" t="s">
        <v>182</v>
      </c>
      <c r="C10" s="12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05" t="s">
        <v>135</v>
      </c>
      <c r="C11" s="10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105" t="s">
        <v>148</v>
      </c>
      <c r="C12" s="10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105" t="s">
        <v>177</v>
      </c>
      <c r="C15" s="106"/>
      <c r="D15" s="106"/>
      <c r="E15" s="106"/>
      <c r="F15" s="106"/>
      <c r="G15" s="107"/>
      <c r="H15" s="2"/>
    </row>
    <row r="16" spans="1:8" ht="15" customHeight="1" x14ac:dyDescent="0.25">
      <c r="A16" s="2"/>
      <c r="B16" s="98" t="s">
        <v>195</v>
      </c>
      <c r="C16" s="99"/>
      <c r="D16" s="99"/>
      <c r="E16" s="100"/>
      <c r="F16" s="126" t="s">
        <v>178</v>
      </c>
      <c r="G16" s="126"/>
      <c r="H16" s="2"/>
    </row>
    <row r="17" spans="1:8" x14ac:dyDescent="0.25">
      <c r="A17" s="2"/>
      <c r="B17" s="95" t="s">
        <v>191</v>
      </c>
      <c r="C17" s="96"/>
      <c r="D17" s="96"/>
      <c r="E17" s="97"/>
      <c r="F17" s="27">
        <v>0</v>
      </c>
      <c r="G17" s="23" t="s">
        <v>4</v>
      </c>
      <c r="H17" s="2"/>
    </row>
    <row r="18" spans="1:8" x14ac:dyDescent="0.25">
      <c r="A18" s="2"/>
      <c r="B18" s="105" t="s">
        <v>179</v>
      </c>
      <c r="C18" s="106"/>
      <c r="D18" s="106"/>
      <c r="E18" s="107"/>
      <c r="F18" s="21">
        <f>SUM(F17:F17)</f>
        <v>0</v>
      </c>
      <c r="G18" s="22" t="s">
        <v>4</v>
      </c>
      <c r="H18" s="2"/>
    </row>
    <row r="19" spans="1:8" x14ac:dyDescent="0.25">
      <c r="A19" s="2"/>
      <c r="B19" s="105" t="s">
        <v>180</v>
      </c>
      <c r="C19" s="106"/>
      <c r="D19" s="106"/>
      <c r="E19" s="10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13" t="s">
        <v>120</v>
      </c>
      <c r="C3" s="113"/>
      <c r="D3" s="113"/>
      <c r="E3" s="113"/>
      <c r="F3" s="113"/>
      <c r="G3" s="113"/>
      <c r="H3" s="2"/>
    </row>
    <row r="4" spans="1:8" ht="25.5" customHeight="1" x14ac:dyDescent="0.25">
      <c r="A4" s="2"/>
      <c r="B4" s="113"/>
      <c r="C4" s="113"/>
      <c r="D4" s="113"/>
      <c r="E4" s="113"/>
      <c r="F4" s="113"/>
      <c r="G4" s="11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5" t="s">
        <v>119</v>
      </c>
      <c r="C8" s="106"/>
      <c r="D8" s="106"/>
      <c r="E8" s="106"/>
      <c r="F8" s="106"/>
      <c r="G8" s="107"/>
      <c r="H8" s="2"/>
    </row>
    <row r="9" spans="1:8" ht="29.25" customHeight="1" x14ac:dyDescent="0.25">
      <c r="A9" s="2"/>
      <c r="B9" s="45" t="s">
        <v>121</v>
      </c>
      <c r="C9" s="46"/>
      <c r="D9" s="126" t="s">
        <v>47</v>
      </c>
      <c r="E9" s="126"/>
      <c r="F9" s="126" t="s">
        <v>129</v>
      </c>
      <c r="G9" s="126"/>
      <c r="H9" s="2"/>
    </row>
    <row r="10" spans="1:8" x14ac:dyDescent="0.25">
      <c r="A10" s="2"/>
      <c r="B10" s="35" t="s">
        <v>190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05" t="s">
        <v>130</v>
      </c>
      <c r="C11" s="10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105" t="s">
        <v>147</v>
      </c>
      <c r="C12" s="10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111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56</v>
      </c>
      <c r="C8" s="106"/>
      <c r="D8" s="106"/>
      <c r="E8" s="106"/>
      <c r="F8" s="106"/>
      <c r="G8" s="106"/>
      <c r="H8" s="107"/>
      <c r="I8" s="2"/>
    </row>
    <row r="9" spans="1:9" ht="15" customHeight="1" x14ac:dyDescent="0.25">
      <c r="A9" s="2"/>
      <c r="B9" s="92" t="s">
        <v>60</v>
      </c>
      <c r="C9" s="93"/>
      <c r="D9" s="94"/>
      <c r="E9" s="8">
        <f>'Fane 3. Korrigeret grundlag'!G12</f>
        <v>82229705</v>
      </c>
      <c r="F9" s="9" t="s">
        <v>4</v>
      </c>
      <c r="G9" s="10"/>
      <c r="H9" s="11"/>
      <c r="I9" s="2"/>
    </row>
    <row r="10" spans="1:9" x14ac:dyDescent="0.25">
      <c r="A10" s="2"/>
      <c r="B10" s="101" t="s">
        <v>46</v>
      </c>
      <c r="C10" s="96"/>
      <c r="D10" s="97"/>
      <c r="E10" s="12">
        <f>'Fane 3. Korrigeret grundlag'!G11</f>
        <v>1240110</v>
      </c>
      <c r="F10" s="9" t="s">
        <v>4</v>
      </c>
      <c r="G10" s="13"/>
      <c r="H10" s="14"/>
      <c r="I10" s="2"/>
    </row>
    <row r="11" spans="1:9" x14ac:dyDescent="0.25">
      <c r="A11" s="2"/>
      <c r="B11" s="101" t="s">
        <v>123</v>
      </c>
      <c r="C11" s="96"/>
      <c r="D11" s="97"/>
      <c r="E11" s="12">
        <f>'Fane 4. Ikke-påvirkelige omk.'!G20</f>
        <v>262225.01250000001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193</v>
      </c>
      <c r="C12" s="49"/>
      <c r="D12" s="50"/>
      <c r="E12" s="12">
        <f>'Fane 5. Individuelt eff.krav'!G10</f>
        <v>-1076616</v>
      </c>
      <c r="F12" s="9" t="s">
        <v>4</v>
      </c>
      <c r="G12" s="13"/>
      <c r="H12" s="14"/>
      <c r="I12" s="2"/>
    </row>
    <row r="13" spans="1:9" x14ac:dyDescent="0.25">
      <c r="A13" s="2"/>
      <c r="B13" s="101" t="s">
        <v>173</v>
      </c>
      <c r="C13" s="108"/>
      <c r="D13" s="109"/>
      <c r="E13" s="12">
        <f>'Fane 3. Korrigeret grundlag'!G22</f>
        <v>0</v>
      </c>
      <c r="F13" s="9" t="s">
        <v>4</v>
      </c>
      <c r="G13" s="13"/>
      <c r="H13" s="14"/>
      <c r="I13" s="2"/>
    </row>
    <row r="14" spans="1:9" x14ac:dyDescent="0.25">
      <c r="A14" s="2"/>
      <c r="B14" s="92" t="s">
        <v>131</v>
      </c>
      <c r="C14" s="93"/>
      <c r="D14" s="9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2" t="s">
        <v>132</v>
      </c>
      <c r="C15" s="93"/>
      <c r="D15" s="9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2" t="s">
        <v>177</v>
      </c>
      <c r="C16" s="93"/>
      <c r="D16" s="9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2" t="s">
        <v>133</v>
      </c>
      <c r="C17" s="93"/>
      <c r="D17" s="9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2" t="s">
        <v>134</v>
      </c>
      <c r="C18" s="93"/>
      <c r="D18" s="9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101" t="s">
        <v>125</v>
      </c>
      <c r="C20" s="96"/>
      <c r="D20" s="97"/>
      <c r="E20" s="12">
        <f>SUM(E9,E11:E18)*(E19/100)</f>
        <v>1424767.9952187501</v>
      </c>
      <c r="F20" s="9" t="s">
        <v>4</v>
      </c>
      <c r="G20" s="13"/>
      <c r="H20" s="14"/>
      <c r="I20" s="2"/>
    </row>
    <row r="21" spans="1:9" x14ac:dyDescent="0.25">
      <c r="A21" s="2"/>
      <c r="B21" s="95" t="s">
        <v>15</v>
      </c>
      <c r="C21" s="96"/>
      <c r="D21" s="97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95" t="s">
        <v>16</v>
      </c>
      <c r="C22" s="96"/>
      <c r="D22" s="97"/>
      <c r="E22" s="12">
        <f>'Fane 6. Generelt eff.krav'!G17</f>
        <v>1509383.875637</v>
      </c>
      <c r="F22" s="9" t="s">
        <v>4</v>
      </c>
      <c r="G22" s="16"/>
      <c r="H22" s="17"/>
      <c r="I22" s="2"/>
    </row>
    <row r="23" spans="1:9" x14ac:dyDescent="0.25">
      <c r="A23" s="2"/>
      <c r="B23" s="102" t="s">
        <v>183</v>
      </c>
      <c r="C23" s="103"/>
      <c r="D23" s="104"/>
      <c r="E23" s="18">
        <f>SUM(E9,E11:E18,E20)-SUM(E21:E22)</f>
        <v>81330698.132081762</v>
      </c>
      <c r="F23" s="19" t="s">
        <v>4</v>
      </c>
      <c r="G23" s="18">
        <f>E23</f>
        <v>81330698.132081762</v>
      </c>
      <c r="H23" s="19" t="s">
        <v>4</v>
      </c>
      <c r="I23" s="2"/>
    </row>
    <row r="24" spans="1:9" x14ac:dyDescent="0.25">
      <c r="A24" s="2"/>
      <c r="B24" s="105" t="s">
        <v>17</v>
      </c>
      <c r="C24" s="106"/>
      <c r="D24" s="106"/>
      <c r="E24" s="106"/>
      <c r="F24" s="106"/>
      <c r="G24" s="106"/>
      <c r="H24" s="107"/>
      <c r="I24" s="2"/>
    </row>
    <row r="25" spans="1:9" x14ac:dyDescent="0.25">
      <c r="A25" s="2"/>
      <c r="B25" s="98" t="s">
        <v>55</v>
      </c>
      <c r="C25" s="99"/>
      <c r="D25" s="10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105" t="s">
        <v>100</v>
      </c>
      <c r="C26" s="106"/>
      <c r="D26" s="106"/>
      <c r="E26" s="106"/>
      <c r="F26" s="106"/>
      <c r="G26" s="106"/>
      <c r="H26" s="107"/>
      <c r="I26" s="2"/>
    </row>
    <row r="27" spans="1:9" x14ac:dyDescent="0.25">
      <c r="A27" s="2"/>
      <c r="B27" s="92" t="s">
        <v>107</v>
      </c>
      <c r="C27" s="93"/>
      <c r="D27" s="94"/>
      <c r="E27" s="12">
        <f>'Fane 9. Korrektion af PL2016'!G11</f>
        <v>-250482</v>
      </c>
      <c r="F27" s="9" t="s">
        <v>4</v>
      </c>
      <c r="G27" s="20"/>
      <c r="H27" s="11"/>
      <c r="I27" s="2"/>
    </row>
    <row r="28" spans="1:9" x14ac:dyDescent="0.25">
      <c r="A28" s="2"/>
      <c r="B28" s="92" t="s">
        <v>101</v>
      </c>
      <c r="C28" s="93"/>
      <c r="D28" s="94"/>
      <c r="E28" s="12">
        <f>'Fane 9. Korrektion af PL2016'!G17</f>
        <v>-67793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2" t="s">
        <v>102</v>
      </c>
      <c r="C29" s="93"/>
      <c r="D29" s="94"/>
      <c r="E29" s="12">
        <f>'Fane 9. Korrektion af PL2016'!G23</f>
        <v>15818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2" t="s">
        <v>103</v>
      </c>
      <c r="C30" s="93"/>
      <c r="D30" s="9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2" t="s">
        <v>104</v>
      </c>
      <c r="C31" s="93"/>
      <c r="D31" s="94"/>
      <c r="E31" s="12">
        <f>'Fane 9. Korrektion af PL2016'!G35</f>
        <v>-671029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2" t="s">
        <v>78</v>
      </c>
      <c r="C32" s="93"/>
      <c r="D32" s="94"/>
      <c r="E32" s="12">
        <f>'Fane 9. Korrektion af PL2016'!G41</f>
        <v>257019</v>
      </c>
      <c r="F32" s="9" t="s">
        <v>4</v>
      </c>
      <c r="G32" s="16"/>
      <c r="H32" s="17"/>
      <c r="I32" s="2"/>
    </row>
    <row r="33" spans="1:9" x14ac:dyDescent="0.25">
      <c r="A33" s="2"/>
      <c r="B33" s="98" t="s">
        <v>105</v>
      </c>
      <c r="C33" s="99"/>
      <c r="D33" s="100"/>
      <c r="E33" s="18">
        <f>SUM(E27:E32)</f>
        <v>-716467</v>
      </c>
      <c r="F33" s="19" t="s">
        <v>4</v>
      </c>
      <c r="G33" s="18">
        <f>E33</f>
        <v>-716467</v>
      </c>
      <c r="H33" s="19" t="s">
        <v>4</v>
      </c>
      <c r="I33" s="2"/>
    </row>
    <row r="34" spans="1:9" x14ac:dyDescent="0.25">
      <c r="A34" s="2"/>
      <c r="B34" s="105" t="s">
        <v>18</v>
      </c>
      <c r="C34" s="106"/>
      <c r="D34" s="106"/>
      <c r="E34" s="106"/>
      <c r="F34" s="106"/>
      <c r="G34" s="106"/>
      <c r="H34" s="107"/>
      <c r="I34" s="2"/>
    </row>
    <row r="35" spans="1:9" x14ac:dyDescent="0.25">
      <c r="A35" s="2"/>
      <c r="B35" s="98" t="s">
        <v>106</v>
      </c>
      <c r="C35" s="99"/>
      <c r="D35" s="100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105" t="s">
        <v>62</v>
      </c>
      <c r="C36" s="106"/>
      <c r="D36" s="106"/>
      <c r="E36" s="106"/>
      <c r="F36" s="107"/>
      <c r="G36" s="21">
        <f>G23+G25+G33+G35</f>
        <v>80614231.132081762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110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56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92" t="s">
        <v>108</v>
      </c>
      <c r="C9" s="93"/>
      <c r="D9" s="94"/>
      <c r="E9" s="8">
        <f>'Fane 2.1. Økonomisk ramme 2018'!G23-'Fane 2.1. Økonomisk ramme 2018'!E13*(1+0.0175)*(1-0.02-'Fane 5. Individuelt eff.krav'!G11/100)</f>
        <v>81330698.132081762</v>
      </c>
      <c r="F9" s="9" t="s">
        <v>4</v>
      </c>
      <c r="G9" s="10"/>
      <c r="H9" s="11"/>
      <c r="I9" s="2"/>
    </row>
    <row r="10" spans="1:9" x14ac:dyDescent="0.25">
      <c r="A10" s="2"/>
      <c r="B10" s="101" t="s">
        <v>46</v>
      </c>
      <c r="C10" s="108"/>
      <c r="D10" s="109"/>
      <c r="E10" s="12">
        <f>(SUM('Fane 2.1. Økonomisk ramme 2018'!E10:E11,'Fane 2.1. Økonomisk ramme 2018'!E16))*(1+'Fane 2.1. Økonomisk ramme 2018'!E19/100)</f>
        <v>1528625.87521875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173</v>
      </c>
      <c r="C11" s="59"/>
      <c r="D11" s="60"/>
      <c r="E11" s="12">
        <v>0</v>
      </c>
      <c r="F11" s="9" t="s">
        <v>4</v>
      </c>
      <c r="G11" s="13"/>
      <c r="H11" s="14"/>
      <c r="I11" s="2"/>
    </row>
    <row r="12" spans="1:9" x14ac:dyDescent="0.25">
      <c r="A12" s="2"/>
      <c r="B12" s="95" t="s">
        <v>61</v>
      </c>
      <c r="C12" s="96"/>
      <c r="D12" s="97"/>
      <c r="E12" s="12">
        <f>($E$9+E11)*'Fane 2.1. Økonomisk ramme 2018'!E19/100</f>
        <v>1423287.217311431</v>
      </c>
      <c r="F12" s="9" t="s">
        <v>4</v>
      </c>
      <c r="G12" s="15"/>
      <c r="H12" s="14"/>
      <c r="I12" s="2"/>
    </row>
    <row r="13" spans="1:9" x14ac:dyDescent="0.25">
      <c r="A13" s="2"/>
      <c r="B13" s="95" t="s">
        <v>15</v>
      </c>
      <c r="C13" s="96"/>
      <c r="D13" s="97"/>
      <c r="E13" s="12">
        <f>($E$9+E11-$E$10)*(1+'Fane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1507186.4852788271</v>
      </c>
      <c r="F14" s="9" t="s">
        <v>4</v>
      </c>
      <c r="G14" s="16"/>
      <c r="H14" s="17"/>
      <c r="I14" s="2"/>
    </row>
    <row r="15" spans="1:9" x14ac:dyDescent="0.25">
      <c r="A15" s="2"/>
      <c r="B15" s="102" t="s">
        <v>183</v>
      </c>
      <c r="C15" s="103"/>
      <c r="D15" s="104"/>
      <c r="E15" s="18">
        <f>$E$9+$E$12-$E$13-$E$14+E11</f>
        <v>81246798.864114359</v>
      </c>
      <c r="F15" s="19" t="s">
        <v>4</v>
      </c>
      <c r="G15" s="18">
        <f>E15</f>
        <v>81246798.864114359</v>
      </c>
      <c r="H15" s="19" t="s">
        <v>4</v>
      </c>
      <c r="I15" s="2"/>
    </row>
    <row r="16" spans="1:9" x14ac:dyDescent="0.25">
      <c r="A16" s="2"/>
      <c r="B16" s="105" t="s">
        <v>17</v>
      </c>
      <c r="C16" s="106"/>
      <c r="D16" s="106"/>
      <c r="E16" s="106"/>
      <c r="F16" s="106"/>
      <c r="G16" s="106"/>
      <c r="H16" s="107"/>
      <c r="I16" s="2"/>
    </row>
    <row r="17" spans="1:9" ht="15" customHeight="1" x14ac:dyDescent="0.25">
      <c r="A17" s="2"/>
      <c r="B17" s="98" t="s">
        <v>55</v>
      </c>
      <c r="C17" s="99"/>
      <c r="D17" s="10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105" t="s">
        <v>109</v>
      </c>
      <c r="C18" s="106"/>
      <c r="D18" s="106"/>
      <c r="E18" s="106"/>
      <c r="F18" s="107"/>
      <c r="G18" s="21">
        <f>G15+G17</f>
        <v>81246798.864114359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209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56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92" t="s">
        <v>210</v>
      </c>
      <c r="C9" s="93"/>
      <c r="D9" s="94"/>
      <c r="E9" s="8">
        <f>'Fane 2.2. Økonomisk ramme 2019'!G15</f>
        <v>81246798.864114359</v>
      </c>
      <c r="F9" s="9" t="s">
        <v>4</v>
      </c>
      <c r="G9" s="10"/>
      <c r="H9" s="11"/>
      <c r="I9" s="2"/>
    </row>
    <row r="10" spans="1:9" x14ac:dyDescent="0.25">
      <c r="A10" s="2"/>
      <c r="B10" s="101" t="s">
        <v>46</v>
      </c>
      <c r="C10" s="108"/>
      <c r="D10" s="109"/>
      <c r="E10" s="12">
        <f>(SUM('Fane 2.1. Økonomisk ramme 2018'!E10:E11,'Fane 2.1. Økonomisk ramme 2018'!E15))*(1+'Fane 2.1. Økonomisk ramme 2018'!E18/100)^2</f>
        <v>1502335.0125</v>
      </c>
      <c r="F10" s="9" t="s">
        <v>4</v>
      </c>
      <c r="G10" s="13"/>
      <c r="H10" s="14"/>
      <c r="I10" s="2"/>
    </row>
    <row r="11" spans="1:9" x14ac:dyDescent="0.25">
      <c r="A11" s="2"/>
      <c r="B11" s="61" t="s">
        <v>173</v>
      </c>
      <c r="C11" s="64"/>
      <c r="D11" s="65"/>
      <c r="E11" s="12">
        <v>0</v>
      </c>
      <c r="F11" s="9" t="s">
        <v>4</v>
      </c>
      <c r="G11" s="13"/>
      <c r="H11" s="14"/>
      <c r="I11" s="2"/>
    </row>
    <row r="12" spans="1:9" x14ac:dyDescent="0.25">
      <c r="A12" s="2"/>
      <c r="B12" s="95" t="s">
        <v>61</v>
      </c>
      <c r="C12" s="96"/>
      <c r="D12" s="97"/>
      <c r="E12" s="12">
        <f>$E$9*'Fane 2.1. Økonomisk ramme 2018'!E19/100</f>
        <v>1421818.9801220011</v>
      </c>
      <c r="F12" s="9" t="s">
        <v>4</v>
      </c>
      <c r="G12" s="15"/>
      <c r="H12" s="14"/>
      <c r="I12" s="2"/>
    </row>
    <row r="13" spans="1:9" x14ac:dyDescent="0.25">
      <c r="A13" s="2"/>
      <c r="B13" s="95" t="s">
        <v>15</v>
      </c>
      <c r="C13" s="96"/>
      <c r="D13" s="97"/>
      <c r="E13" s="12">
        <f>($E$9-$E$10)*(1+'Fane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66" t="s">
        <v>16</v>
      </c>
      <c r="C14" s="62"/>
      <c r="D14" s="63"/>
      <c r="E14" s="12">
        <f>(('Fane 6. Generelt eff.krav'!G12/('Fane 6. Generelt eff.krav'!G11/100)-'Fane 6. Generelt eff.krav'!G12))*(1+'Fane 2.1. Økonomisk ramme 2018'!E19/100)^2*(1-'Fane 6. Generelt eff.krav'!G11/100)*'Fane 6. Generelt eff.krav'!G11/100+(('Fane 6. Generelt eff.krav'!G16/('Fane 6. Generelt eff.krav'!G15/100))-'Fane 6. Generelt eff.krav'!G16)*(1+'Fane 2.1. Økonomisk ramme 2018'!E19/100)^2*(1-'Fane 6. Generelt eff.krav'!G15/100)*'Fane 6. Generelt eff.krav'!G15/100</f>
        <v>1504994.2847888824</v>
      </c>
      <c r="F14" s="9" t="s">
        <v>4</v>
      </c>
      <c r="G14" s="16"/>
      <c r="H14" s="17"/>
      <c r="I14" s="2"/>
    </row>
    <row r="15" spans="1:9" x14ac:dyDescent="0.25">
      <c r="A15" s="2"/>
      <c r="B15" s="102" t="s">
        <v>183</v>
      </c>
      <c r="C15" s="103"/>
      <c r="D15" s="104"/>
      <c r="E15" s="18">
        <f>$E$9+$E$12-$E$13-$E$14</f>
        <v>81163623.559447482</v>
      </c>
      <c r="F15" s="19" t="s">
        <v>4</v>
      </c>
      <c r="G15" s="18">
        <f>E15</f>
        <v>81163623.559447482</v>
      </c>
      <c r="H15" s="19" t="s">
        <v>4</v>
      </c>
      <c r="I15" s="2"/>
    </row>
    <row r="16" spans="1:9" x14ac:dyDescent="0.25">
      <c r="A16" s="2"/>
      <c r="B16" s="105" t="s">
        <v>17</v>
      </c>
      <c r="C16" s="106"/>
      <c r="D16" s="106"/>
      <c r="E16" s="106"/>
      <c r="F16" s="106"/>
      <c r="G16" s="106"/>
      <c r="H16" s="107"/>
      <c r="I16" s="2"/>
    </row>
    <row r="17" spans="1:9" ht="15" customHeight="1" x14ac:dyDescent="0.25">
      <c r="A17" s="2"/>
      <c r="B17" s="98" t="s">
        <v>55</v>
      </c>
      <c r="C17" s="99"/>
      <c r="D17" s="100"/>
      <c r="E17" s="18">
        <f>IF('Fane 7. Hist. over el. underdæk'!$G$12&gt;2,'Fane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105" t="s">
        <v>211</v>
      </c>
      <c r="C18" s="106"/>
      <c r="D18" s="106"/>
      <c r="E18" s="106"/>
      <c r="F18" s="107"/>
      <c r="G18" s="21">
        <f>G15+G17</f>
        <v>81163623.559447482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5:D15"/>
    <mergeCell ref="B16:H16"/>
    <mergeCell ref="B17:D17"/>
    <mergeCell ref="B18:F18"/>
    <mergeCell ref="B3:H4"/>
    <mergeCell ref="B8:H8"/>
    <mergeCell ref="B9:D9"/>
    <mergeCell ref="B10:D10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2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212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56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92" t="s">
        <v>213</v>
      </c>
      <c r="C9" s="93"/>
      <c r="D9" s="94"/>
      <c r="E9" s="8">
        <f>'Fane 2.3. Økonomisk ramme 2020'!G15</f>
        <v>81163623.559447482</v>
      </c>
      <c r="F9" s="9" t="s">
        <v>4</v>
      </c>
      <c r="G9" s="10"/>
      <c r="H9" s="11"/>
      <c r="I9" s="2"/>
    </row>
    <row r="10" spans="1:9" x14ac:dyDescent="0.25">
      <c r="A10" s="2"/>
      <c r="B10" s="101" t="s">
        <v>46</v>
      </c>
      <c r="C10" s="108"/>
      <c r="D10" s="109"/>
      <c r="E10" s="12">
        <f>(SUM('Fane 2.1. Økonomisk ramme 2018'!E10:E11,'Fane 2.1. Økonomisk ramme 2018'!E16))*(1+'Fane 2.1. Økonomisk ramme 2018'!E19/100)^3</f>
        <v>1582595.922525692</v>
      </c>
      <c r="F10" s="9" t="s">
        <v>4</v>
      </c>
      <c r="G10" s="13"/>
      <c r="H10" s="14"/>
      <c r="I10" s="2"/>
    </row>
    <row r="11" spans="1:9" x14ac:dyDescent="0.25">
      <c r="A11" s="2"/>
      <c r="B11" s="61" t="s">
        <v>173</v>
      </c>
      <c r="C11" s="64"/>
      <c r="D11" s="65"/>
      <c r="E11" s="12">
        <v>0</v>
      </c>
      <c r="F11" s="9" t="s">
        <v>4</v>
      </c>
      <c r="G11" s="13"/>
      <c r="H11" s="14"/>
      <c r="I11" s="2"/>
    </row>
    <row r="12" spans="1:9" x14ac:dyDescent="0.25">
      <c r="A12" s="2"/>
      <c r="B12" s="95" t="s">
        <v>61</v>
      </c>
      <c r="C12" s="96"/>
      <c r="D12" s="97"/>
      <c r="E12" s="12">
        <f>$E$9*'Fane 2.1. Økonomisk ramme 2018'!E19/100</f>
        <v>1420363.4122903307</v>
      </c>
      <c r="F12" s="9" t="s">
        <v>4</v>
      </c>
      <c r="G12" s="15"/>
      <c r="H12" s="14"/>
      <c r="I12" s="2"/>
    </row>
    <row r="13" spans="1:9" x14ac:dyDescent="0.25">
      <c r="A13" s="2"/>
      <c r="B13" s="95" t="s">
        <v>15</v>
      </c>
      <c r="C13" s="96"/>
      <c r="D13" s="97"/>
      <c r="E13" s="12">
        <f>($E$9-$E$10)*(1+'Fane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66" t="s">
        <v>16</v>
      </c>
      <c r="C14" s="62"/>
      <c r="D14" s="63"/>
      <c r="E14" s="12">
        <f>(('Fane 6. Generelt eff.krav'!G12/('Fane 6. Generelt eff.krav'!G11/100)-'Fane 6. Generelt eff.krav'!G12))*(1+'Fane 2.1. Økonomisk ramme 2018'!E19/100)^3*(1-'Fane 6. Generelt eff.krav'!G11/100)^2*'Fane 6. Generelt eff.krav'!G11/100+(('Fane 6. Generelt eff.krav'!G16/('Fane 6. Generelt eff.krav'!G15/100))-'Fane 6. Generelt eff.krav'!G16)*(1+'Fane 2.1. Økonomisk ramme 2018'!E19/100)^3*(1-'Fane 6. Generelt eff.krav'!G15/100)^2*'Fane 6. Generelt eff.krav'!G15/100</f>
        <v>1502807.2599228481</v>
      </c>
      <c r="F14" s="9" t="s">
        <v>4</v>
      </c>
      <c r="G14" s="16"/>
      <c r="H14" s="17"/>
      <c r="I14" s="2"/>
    </row>
    <row r="15" spans="1:9" x14ac:dyDescent="0.25">
      <c r="A15" s="2"/>
      <c r="B15" s="102" t="s">
        <v>183</v>
      </c>
      <c r="C15" s="103"/>
      <c r="D15" s="104"/>
      <c r="E15" s="18">
        <f>$E$9+$E$12-$E$13-$E$14</f>
        <v>81081179.71181497</v>
      </c>
      <c r="F15" s="19" t="s">
        <v>4</v>
      </c>
      <c r="G15" s="18">
        <f>E15</f>
        <v>81081179.71181497</v>
      </c>
      <c r="H15" s="19" t="s">
        <v>4</v>
      </c>
      <c r="I15" s="2"/>
    </row>
    <row r="16" spans="1:9" x14ac:dyDescent="0.25">
      <c r="A16" s="2"/>
      <c r="B16" s="105" t="s">
        <v>214</v>
      </c>
      <c r="C16" s="106"/>
      <c r="D16" s="106"/>
      <c r="E16" s="106"/>
      <c r="F16" s="107"/>
      <c r="G16" s="21">
        <f>G15</f>
        <v>81081179.71181497</v>
      </c>
      <c r="H16" s="22" t="s">
        <v>4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</sheetData>
  <sheetProtection password="DFE9" sheet="1" objects="1" scenarios="1"/>
  <mergeCells count="8">
    <mergeCell ref="B15:D15"/>
    <mergeCell ref="B16:F16"/>
    <mergeCell ref="B3:H4"/>
    <mergeCell ref="B8:H8"/>
    <mergeCell ref="B9:D9"/>
    <mergeCell ref="B10:D10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3" t="s">
        <v>141</v>
      </c>
      <c r="C3" s="113"/>
      <c r="D3" s="113"/>
      <c r="E3" s="113"/>
      <c r="F3" s="113"/>
      <c r="G3" s="113"/>
      <c r="H3" s="113"/>
      <c r="I3" s="2"/>
    </row>
    <row r="4" spans="1:9" ht="29.25" customHeight="1" x14ac:dyDescent="0.25">
      <c r="A4" s="2"/>
      <c r="B4" s="113"/>
      <c r="C4" s="113"/>
      <c r="D4" s="113"/>
      <c r="E4" s="113"/>
      <c r="F4" s="113"/>
      <c r="G4" s="113"/>
      <c r="H4" s="11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143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95" t="s">
        <v>112</v>
      </c>
      <c r="C9" s="96"/>
      <c r="D9" s="96"/>
      <c r="E9" s="96"/>
      <c r="F9" s="97"/>
      <c r="G9" s="27">
        <v>30596374</v>
      </c>
      <c r="H9" s="23" t="s">
        <v>4</v>
      </c>
      <c r="I9" s="2"/>
    </row>
    <row r="10" spans="1:9" x14ac:dyDescent="0.25">
      <c r="A10" s="2"/>
      <c r="B10" s="95" t="s">
        <v>113</v>
      </c>
      <c r="C10" s="96"/>
      <c r="D10" s="96"/>
      <c r="E10" s="96"/>
      <c r="F10" s="97"/>
      <c r="G10" s="27">
        <v>50393221</v>
      </c>
      <c r="H10" s="23" t="s">
        <v>4</v>
      </c>
      <c r="I10" s="2"/>
    </row>
    <row r="11" spans="1:9" x14ac:dyDescent="0.25">
      <c r="A11" s="2"/>
      <c r="B11" s="95" t="s">
        <v>140</v>
      </c>
      <c r="C11" s="96"/>
      <c r="D11" s="96"/>
      <c r="E11" s="96"/>
      <c r="F11" s="97"/>
      <c r="G11" s="27">
        <v>1240110</v>
      </c>
      <c r="H11" s="23" t="s">
        <v>4</v>
      </c>
      <c r="I11" s="2"/>
    </row>
    <row r="12" spans="1:9" ht="17.25" customHeight="1" x14ac:dyDescent="0.25">
      <c r="A12" s="2"/>
      <c r="B12" s="110" t="s">
        <v>145</v>
      </c>
      <c r="C12" s="111"/>
      <c r="D12" s="111"/>
      <c r="E12" s="111"/>
      <c r="F12" s="112"/>
      <c r="G12" s="21">
        <f>SUM(G9:G11)</f>
        <v>82229705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105" t="s">
        <v>173</v>
      </c>
      <c r="C19" s="106"/>
      <c r="D19" s="106"/>
      <c r="E19" s="106"/>
      <c r="F19" s="106"/>
      <c r="G19" s="106"/>
      <c r="H19" s="107"/>
      <c r="I19" s="2"/>
    </row>
    <row r="20" spans="1:9" x14ac:dyDescent="0.25">
      <c r="A20" s="2"/>
      <c r="B20" s="95" t="s">
        <v>174</v>
      </c>
      <c r="C20" s="96"/>
      <c r="D20" s="96"/>
      <c r="E20" s="96"/>
      <c r="F20" s="97"/>
      <c r="G20" s="27">
        <v>0</v>
      </c>
      <c r="H20" s="23" t="s">
        <v>4</v>
      </c>
      <c r="I20" s="2"/>
    </row>
    <row r="21" spans="1:9" x14ac:dyDescent="0.25">
      <c r="A21" s="2"/>
      <c r="B21" s="95" t="s">
        <v>175</v>
      </c>
      <c r="C21" s="96"/>
      <c r="D21" s="96"/>
      <c r="E21" s="96"/>
      <c r="F21" s="97"/>
      <c r="G21" s="27">
        <v>0</v>
      </c>
      <c r="H21" s="23" t="s">
        <v>4</v>
      </c>
      <c r="I21" s="2"/>
    </row>
    <row r="22" spans="1:9" x14ac:dyDescent="0.25">
      <c r="A22" s="2"/>
      <c r="B22" s="110" t="s">
        <v>176</v>
      </c>
      <c r="C22" s="111"/>
      <c r="D22" s="111"/>
      <c r="E22" s="111"/>
      <c r="F22" s="112"/>
      <c r="G22" s="21">
        <f>SUM(G20:G21)</f>
        <v>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114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115</v>
      </c>
      <c r="C8" s="106"/>
      <c r="D8" s="106"/>
      <c r="E8" s="106"/>
      <c r="F8" s="106"/>
      <c r="G8" s="106"/>
      <c r="H8" s="107"/>
      <c r="I8" s="2"/>
    </row>
    <row r="9" spans="1:9" ht="51.75" customHeight="1" x14ac:dyDescent="0.25">
      <c r="A9" s="2"/>
      <c r="B9" s="98" t="s">
        <v>117</v>
      </c>
      <c r="C9" s="99"/>
      <c r="D9" s="10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14" t="s">
        <v>164</v>
      </c>
      <c r="C10" s="115"/>
      <c r="D10" s="11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14" t="s">
        <v>165</v>
      </c>
      <c r="C11" s="115"/>
      <c r="D11" s="11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14" t="s">
        <v>166</v>
      </c>
      <c r="C12" s="115"/>
      <c r="D12" s="116"/>
      <c r="E12" s="56">
        <v>215678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14" t="s">
        <v>167</v>
      </c>
      <c r="C13" s="115"/>
      <c r="D13" s="116"/>
      <c r="E13" s="56">
        <v>32399</v>
      </c>
      <c r="F13" s="23" t="s">
        <v>4</v>
      </c>
      <c r="G13" s="27">
        <v>54492</v>
      </c>
      <c r="H13" s="23" t="s">
        <v>4</v>
      </c>
      <c r="I13" s="2"/>
    </row>
    <row r="14" spans="1:9" x14ac:dyDescent="0.25">
      <c r="A14" s="2"/>
      <c r="B14" s="114" t="s">
        <v>168</v>
      </c>
      <c r="C14" s="115"/>
      <c r="D14" s="11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14" t="s">
        <v>169</v>
      </c>
      <c r="C15" s="115"/>
      <c r="D15" s="116"/>
      <c r="E15" s="56">
        <v>976480</v>
      </c>
      <c r="F15" s="23" t="s">
        <v>4</v>
      </c>
      <c r="G15" s="27">
        <v>1021542</v>
      </c>
      <c r="H15" s="23" t="s">
        <v>4</v>
      </c>
      <c r="I15" s="2"/>
    </row>
    <row r="16" spans="1:9" x14ac:dyDescent="0.25">
      <c r="A16" s="2"/>
      <c r="B16" s="114" t="s">
        <v>170</v>
      </c>
      <c r="C16" s="115"/>
      <c r="D16" s="11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14" t="s">
        <v>171</v>
      </c>
      <c r="C17" s="115"/>
      <c r="D17" s="11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15" customHeight="1" x14ac:dyDescent="0.25">
      <c r="A18" s="2"/>
      <c r="B18" s="117" t="s">
        <v>172</v>
      </c>
      <c r="C18" s="118"/>
      <c r="D18" s="119"/>
      <c r="E18" s="56">
        <v>0</v>
      </c>
      <c r="F18" s="23" t="s">
        <v>4</v>
      </c>
      <c r="G18" s="27">
        <v>406238</v>
      </c>
      <c r="H18" s="23" t="s">
        <v>4</v>
      </c>
      <c r="I18" s="2"/>
    </row>
    <row r="19" spans="1:9" x14ac:dyDescent="0.25">
      <c r="A19" s="2"/>
      <c r="B19" s="105" t="s">
        <v>136</v>
      </c>
      <c r="C19" s="106"/>
      <c r="D19" s="106"/>
      <c r="E19" s="106"/>
      <c r="F19" s="107"/>
      <c r="G19" s="21">
        <f>SUM(G10:G18)-SUM(E10:E18)</f>
        <v>257715</v>
      </c>
      <c r="H19" s="22" t="s">
        <v>4</v>
      </c>
      <c r="I19" s="2"/>
    </row>
    <row r="20" spans="1:9" x14ac:dyDescent="0.25">
      <c r="A20" s="2"/>
      <c r="B20" s="105" t="s">
        <v>137</v>
      </c>
      <c r="C20" s="106"/>
      <c r="D20" s="106"/>
      <c r="E20" s="106"/>
      <c r="F20" s="107"/>
      <c r="G20" s="21">
        <f>G19*(1+'Fane 2.1. Økonomisk ramme 2018'!E19/100)</f>
        <v>262225.01250000001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71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15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95" t="s">
        <v>51</v>
      </c>
      <c r="C9" s="96"/>
      <c r="D9" s="96"/>
      <c r="E9" s="96"/>
      <c r="F9" s="97"/>
      <c r="G9" s="12">
        <f>'Fane 3. Korrigeret grundlag'!G12-'Fane 3. Korrigeret grundlag'!G11+SUM('Fane 2.1. Økonomisk ramme 2018'!E13:E15,'Fane 2.1. Økonomisk ramme 2018'!E17:E18)</f>
        <v>80989595</v>
      </c>
      <c r="H9" s="23" t="s">
        <v>4</v>
      </c>
      <c r="I9" s="2"/>
    </row>
    <row r="10" spans="1:9" x14ac:dyDescent="0.25">
      <c r="A10" s="2"/>
      <c r="B10" s="51" t="s">
        <v>193</v>
      </c>
      <c r="C10" s="49"/>
      <c r="D10" s="49"/>
      <c r="E10" s="49"/>
      <c r="F10" s="50"/>
      <c r="G10" s="12">
        <v>-1076616</v>
      </c>
      <c r="H10" s="23" t="s">
        <v>4</v>
      </c>
      <c r="I10" s="2"/>
    </row>
    <row r="11" spans="1:9" x14ac:dyDescent="0.25">
      <c r="A11" s="2"/>
      <c r="B11" s="95" t="s">
        <v>37</v>
      </c>
      <c r="C11" s="96"/>
      <c r="D11" s="96"/>
      <c r="E11" s="96"/>
      <c r="F11" s="97"/>
      <c r="G11" s="29">
        <v>0</v>
      </c>
      <c r="H11" s="23" t="s">
        <v>38</v>
      </c>
      <c r="I11" s="2"/>
    </row>
    <row r="12" spans="1:9" x14ac:dyDescent="0.25">
      <c r="A12" s="2"/>
      <c r="B12" s="105" t="s">
        <v>15</v>
      </c>
      <c r="C12" s="106"/>
      <c r="D12" s="106"/>
      <c r="E12" s="106"/>
      <c r="F12" s="107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72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5" t="s">
        <v>53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20" t="s">
        <v>47</v>
      </c>
      <c r="C9" s="121"/>
      <c r="D9" s="121"/>
      <c r="E9" s="121"/>
      <c r="F9" s="122"/>
      <c r="G9" s="12">
        <f>'Fane 3. Korrigeret grundlag'!G9+(SUM('Fane 2.1. Økonomisk ramme 2018'!E13,'Fane 2.1. Økonomisk ramme 2018'!E14,'Fane 2.1. Økonomisk ramme 2018'!E17))</f>
        <v>30596374</v>
      </c>
      <c r="H9" s="23" t="s">
        <v>4</v>
      </c>
      <c r="I9" s="2"/>
    </row>
    <row r="10" spans="1:9" x14ac:dyDescent="0.25">
      <c r="A10" s="2"/>
      <c r="B10" s="52" t="s">
        <v>192</v>
      </c>
      <c r="C10" s="53"/>
      <c r="D10" s="53"/>
      <c r="E10" s="53"/>
      <c r="F10" s="54"/>
      <c r="G10" s="12">
        <v>-611927</v>
      </c>
      <c r="H10" s="23" t="s">
        <v>4</v>
      </c>
      <c r="I10" s="2"/>
    </row>
    <row r="11" spans="1:9" x14ac:dyDescent="0.25">
      <c r="A11" s="2"/>
      <c r="B11" s="95" t="s">
        <v>16</v>
      </c>
      <c r="C11" s="96"/>
      <c r="D11" s="96"/>
      <c r="E11" s="96"/>
      <c r="F11" s="97"/>
      <c r="G11" s="37">
        <v>2</v>
      </c>
      <c r="H11" s="23" t="s">
        <v>38</v>
      </c>
      <c r="I11" s="2"/>
    </row>
    <row r="12" spans="1:9" x14ac:dyDescent="0.25">
      <c r="A12" s="2"/>
      <c r="B12" s="102" t="s">
        <v>39</v>
      </c>
      <c r="C12" s="103"/>
      <c r="D12" s="103"/>
      <c r="E12" s="103"/>
      <c r="F12" s="104"/>
      <c r="G12" s="18">
        <f>($G$9+$G$10)*(1+'Fane 2.1. Økonomisk ramme 2018'!E19/100)*$G$11/100</f>
        <v>610183.49644999998</v>
      </c>
      <c r="H12" s="38" t="s">
        <v>4</v>
      </c>
      <c r="I12" s="2"/>
    </row>
    <row r="13" spans="1:9" x14ac:dyDescent="0.25">
      <c r="A13" s="2"/>
      <c r="B13" s="95" t="s">
        <v>48</v>
      </c>
      <c r="C13" s="96"/>
      <c r="D13" s="96"/>
      <c r="E13" s="96"/>
      <c r="F13" s="97"/>
      <c r="G13" s="12">
        <f>'Fane 3. Korrigeret grundlag'!G10+SUM('Fane 2.1. Økonomisk ramme 2018'!E15,'Fane 2.1. Økonomisk ramme 2018'!E18)</f>
        <v>50393221</v>
      </c>
      <c r="H13" s="23" t="s">
        <v>4</v>
      </c>
      <c r="I13" s="2"/>
    </row>
    <row r="14" spans="1:9" x14ac:dyDescent="0.25">
      <c r="A14" s="2"/>
      <c r="B14" s="51" t="s">
        <v>194</v>
      </c>
      <c r="C14" s="49"/>
      <c r="D14" s="49"/>
      <c r="E14" s="49"/>
      <c r="F14" s="50"/>
      <c r="G14" s="12">
        <v>-464689</v>
      </c>
      <c r="H14" s="23" t="s">
        <v>4</v>
      </c>
      <c r="I14" s="2"/>
    </row>
    <row r="15" spans="1:9" x14ac:dyDescent="0.25">
      <c r="A15" s="2"/>
      <c r="B15" s="95" t="s">
        <v>16</v>
      </c>
      <c r="C15" s="96"/>
      <c r="D15" s="96"/>
      <c r="E15" s="96"/>
      <c r="F15" s="97"/>
      <c r="G15" s="30">
        <v>1.77</v>
      </c>
      <c r="H15" s="23" t="s">
        <v>38</v>
      </c>
      <c r="I15" s="2"/>
    </row>
    <row r="16" spans="1:9" x14ac:dyDescent="0.25">
      <c r="A16" s="2"/>
      <c r="B16" s="102" t="s">
        <v>40</v>
      </c>
      <c r="C16" s="103"/>
      <c r="D16" s="103"/>
      <c r="E16" s="103"/>
      <c r="F16" s="104"/>
      <c r="G16" s="18">
        <f>($G$13+$G$14)*(1+'Fane 2.1. Økonomisk ramme 2018'!E19/100)*$G$15/100</f>
        <v>899200.3791870001</v>
      </c>
      <c r="H16" s="38" t="s">
        <v>4</v>
      </c>
      <c r="I16" s="2"/>
    </row>
    <row r="17" spans="1:9" x14ac:dyDescent="0.25">
      <c r="A17" s="2"/>
      <c r="B17" s="105" t="s">
        <v>52</v>
      </c>
      <c r="C17" s="106"/>
      <c r="D17" s="106"/>
      <c r="E17" s="106"/>
      <c r="F17" s="107"/>
      <c r="G17" s="21">
        <f>G12+G16</f>
        <v>1509383.875637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2017-10-13T15:44:53Z</dcterms:modified>
</cp:coreProperties>
</file>