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1" i="23"/>
  <c r="E10" i="23"/>
  <c r="E12" i="23" s="1"/>
  <c r="E16" i="22"/>
  <c r="E13" i="22"/>
  <c r="E10" i="22"/>
  <c r="E9" i="22"/>
  <c r="E12" i="22" s="1"/>
  <c r="G16" i="22"/>
  <c r="E11" i="22" l="1"/>
  <c r="E14" i="22"/>
  <c r="G14" i="22" s="1"/>
  <c r="E13" i="15"/>
  <c r="E9" i="23" l="1"/>
  <c r="G17" i="22"/>
  <c r="G13" i="9"/>
  <c r="G9" i="9"/>
  <c r="G9" i="8"/>
  <c r="E14" i="23" l="1"/>
  <c r="G14" i="23" s="1"/>
  <c r="G15" i="23" s="1"/>
  <c r="G13" i="10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33" i="11" l="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34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5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<sst xmlns="http://schemas.openxmlformats.org/spreadsheetml/2006/main" count="422" uniqueCount="194">
  <si>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</si>
  <si>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</si>
  <si>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</si>
  <si>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</si>
  <si>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</si>
  <si>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</si>
  <si>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</si>
  <si>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</si>
  <si>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</si>
  <si>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</si>
  <si>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</si>
  <si>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</si>
  <si>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</si>
  <si>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</si>
  <si>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</si>
  <si>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</si>
  <si>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</si>
  <si>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</si>
  <si>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</si>
  <si>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</si>
  <si>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</si>
  <si>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</si>
  <si>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</si>
  <si>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</si>
  <si>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</si>
  <si>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</si>
  <si>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</si>
  <si>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</si>
  <si>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</si>
  <si>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</si>
  <si>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</si>
  <si>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</si>
  <si>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</si>
  <si>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</si>
  <si>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</si>
  <si>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</si>
  <si>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</si>
  <si>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</si>
  <si>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</si>
  <si>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</si>
  <si>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</si>
  <si>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</si>
  <si>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</si>
  <si>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</si>
  <si>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</si>
  <si>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</si>
  <si>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</si>
  <si>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</si>
  <si>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</si>
  <si>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</si>
  <si>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</si>
  <si>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</si>
  <si>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</si>
  <si>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</si>
  <si>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</si>
  <si>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</si>
  <si>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</si>
  <si>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</si>
  <si>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</si>
  <si>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</si>
  <si>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</si>
  <si>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</si>
  <si>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</si>
  <si>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</si>
  <si>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</si>
  <si>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</si>
  <si>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</si>
  <si>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</si>
  <si>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</si>
  <si>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</si>
  <si>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</si>
  <si>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</si>
  <si>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</si>
  <si>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</si>
  <si>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</si>
  <si>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</si>
  <si>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</si>
  <si>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</si>
  <si>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</si>
  <si>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</si>
  <si>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</si>
  <si>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</si>
  <si>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</si>
  <si>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</si>
  <si>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</si>
  <si>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</si>
  <si>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</si>
  <si>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</si>
  <si>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</si>
  <si>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</si>
  <si>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</si>
  <si>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</si>
  <si>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</si>
  <si>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</si>
  <si>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</si>
  <si>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</si>
  <si>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</si>
  <si>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</si>
  <si>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</si>
  <si>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</si>
  <si>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</si>
  <si>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</si>
  <si>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</si>
  <si>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</si>
  <si>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</si>
  <si>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</si>
  <si>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</si>
  <si>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</si>
  <si>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</si>
  <si>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</si>
  <si>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</si>
  <si>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</si>
  <si>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</si>
  <si>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</si>
  <si>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</si>
  <si>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</si>
  <si>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</si>
  <si>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</si>
  <si>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</si>
  <si>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</si>
  <si>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</si>
  <si>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</si>
  <si>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</si>
  <si>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</si>
  <si>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</si>
  <si>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</si>
  <si>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</si>
  <si>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</si>
  <si>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</si>
  <si>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</si>
  <si>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</si>
  <si>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</si>
  <si>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</si>
  <si>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</si>
  <si>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</si>
  <si>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</si>
  <si>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</si>
  <si>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</si>
  <si>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</si>
  <si>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</si>
  <si>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</si>
  <si>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</si>
  <si>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</si>
  <si>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</si>
  <si>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</si>
  <si>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</si>
  <si>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Administrationbygninger</t>
  </si>
  <si>
    <t>Arbejdsplads</t>
  </si>
  <si>
    <t>Brønde</t>
  </si>
  <si>
    <t>Jordbassin Klasse A</t>
  </si>
  <si>
    <t>Ledningsnet ≤ Ø 200 mm</t>
  </si>
  <si>
    <t>Pumpestationer i brønde (&lt; 6,25 m2), Konstruktioner</t>
  </si>
  <si>
    <t>Pumpestationer i brønde (&lt; 6,25 m2), Mek/EL</t>
  </si>
  <si>
    <t>Pumpestationer i brønde (&lt; 6,25 m2), SRO</t>
  </si>
  <si>
    <t>Ø 200 mm &lt; Ledningsnet ≤ Ø 500 mm</t>
  </si>
  <si>
    <t>Ø 500 mm &lt; Ledningsnet ≤ Ø 800 mm</t>
  </si>
  <si>
    <t>Ø 800 mm &lt; Ledningsnet ≤ Ø 1000 mm</t>
  </si>
  <si>
    <t>Forsinkelsesbassiner, lukkede med automatisk rensning og SRO Miljøklasse A (1.000-3.000 m3) - Konstruktioner</t>
  </si>
  <si>
    <t>Pumpestationer i underjordiske bygværker (&lt;50 m2), Mek/El</t>
  </si>
  <si>
    <t>Pumpestationer i underjordiske bygværker (&lt;50 m2), SRO</t>
  </si>
  <si>
    <t>Ø 1200 mm &lt; Ledningsnet ≤ Ø 1600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</si>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</sst>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-49048753</v>
      </c>
      <c r="H9" s="23" t="s">
        <v>4</v>
      </c>
      <c r="I9" s="2"/>
    </row>
    <row r="10" spans="1:9" x14ac:dyDescent="0.25">
      <c r="A10" s="2"/>
      <c r="B10" s="89" t="s">
        <v>120</v>
      </c>
      <c r="C10" s="90"/>
      <c r="D10" s="90"/>
      <c r="E10" s="90"/>
      <c r="F10" s="91"/>
      <c r="G10" s="27">
        <v>-34419236.756613754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0">
        <f>G9-G10</f>
        <v>-14629516.243386246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3</v>
      </c>
      <c r="H12" s="23" t="s">
        <v>125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-4876505.4144620821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75815.100000000006</v>
      </c>
      <c r="F10" s="12">
        <f>E10/D10</f>
        <v>1010.8680000000001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5</v>
      </c>
      <c r="E11" s="27">
        <v>31500</v>
      </c>
      <c r="F11" s="12">
        <f t="shared" ref="F11:F34" si="0">E11/D11</f>
        <v>6300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1400020.03</v>
      </c>
      <c r="F12" s="12">
        <f t="shared" si="0"/>
        <v>18666.933733333335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50</v>
      </c>
      <c r="E13" s="27">
        <v>2308707.42</v>
      </c>
      <c r="F13" s="12">
        <f t="shared" si="0"/>
        <v>46174.148399999998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2680740.7599999998</v>
      </c>
      <c r="F14" s="12">
        <f t="shared" si="0"/>
        <v>35743.210133333334</v>
      </c>
      <c r="G14" s="23" t="s">
        <v>4</v>
      </c>
      <c r="H14" s="2"/>
    </row>
    <row r="15" spans="1:8" ht="26.25" x14ac:dyDescent="0.25">
      <c r="A15" s="2"/>
      <c r="B15" s="47" t="s">
        <v>151</v>
      </c>
      <c r="C15" s="41">
        <v>2016</v>
      </c>
      <c r="D15" s="28">
        <v>50</v>
      </c>
      <c r="E15" s="27">
        <v>779522.66</v>
      </c>
      <c r="F15" s="12">
        <f t="shared" si="0"/>
        <v>15590.4532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20</v>
      </c>
      <c r="E16" s="27">
        <v>347749.39</v>
      </c>
      <c r="F16" s="12">
        <f t="shared" si="0"/>
        <v>17387.469499999999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10</v>
      </c>
      <c r="E17" s="27">
        <v>238922.23</v>
      </c>
      <c r="F17" s="12">
        <f t="shared" si="0"/>
        <v>23892.223000000002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75</v>
      </c>
      <c r="E18" s="27">
        <v>1222078.08</v>
      </c>
      <c r="F18" s="12">
        <f t="shared" si="0"/>
        <v>16294.374400000001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75</v>
      </c>
      <c r="E19" s="27">
        <v>1289985.32</v>
      </c>
      <c r="F19" s="12">
        <f t="shared" si="0"/>
        <v>17199.804266666666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75</v>
      </c>
      <c r="E20" s="27">
        <v>3376389.09</v>
      </c>
      <c r="F20" s="12">
        <f t="shared" si="0"/>
        <v>45018.521199999996</v>
      </c>
      <c r="G20" s="23" t="s">
        <v>4</v>
      </c>
      <c r="H20" s="2"/>
    </row>
    <row r="21" spans="1:8" x14ac:dyDescent="0.25">
      <c r="A21" s="2"/>
      <c r="B21" s="47" t="s">
        <v>147</v>
      </c>
      <c r="C21" s="41">
        <v>2016</v>
      </c>
      <c r="D21" s="28">
        <v>5</v>
      </c>
      <c r="E21" s="27">
        <v>296947.71000000002</v>
      </c>
      <c r="F21" s="12">
        <f t="shared" si="0"/>
        <v>59389.542000000001</v>
      </c>
      <c r="G21" s="23" t="s">
        <v>4</v>
      </c>
      <c r="H21" s="2"/>
    </row>
    <row r="22" spans="1:8" x14ac:dyDescent="0.25">
      <c r="A22" s="2"/>
      <c r="B22" s="47" t="s">
        <v>148</v>
      </c>
      <c r="C22" s="41">
        <v>2016</v>
      </c>
      <c r="D22" s="28">
        <v>75</v>
      </c>
      <c r="E22" s="27">
        <v>7353232.6900000004</v>
      </c>
      <c r="F22" s="12">
        <f t="shared" si="0"/>
        <v>98043.102533333338</v>
      </c>
      <c r="G22" s="23" t="s">
        <v>4</v>
      </c>
      <c r="H22" s="2"/>
    </row>
    <row r="23" spans="1:8" ht="39" x14ac:dyDescent="0.25">
      <c r="A23" s="2"/>
      <c r="B23" s="47" t="s">
        <v>157</v>
      </c>
      <c r="C23" s="41">
        <v>2016</v>
      </c>
      <c r="D23" s="28">
        <v>75</v>
      </c>
      <c r="E23" s="27">
        <v>866000</v>
      </c>
      <c r="F23" s="12">
        <f t="shared" si="0"/>
        <v>11546.666666666666</v>
      </c>
      <c r="G23" s="23" t="s">
        <v>4</v>
      </c>
      <c r="H23" s="2"/>
    </row>
    <row r="24" spans="1:8" x14ac:dyDescent="0.25">
      <c r="A24" s="2"/>
      <c r="B24" s="47" t="s">
        <v>149</v>
      </c>
      <c r="C24" s="41">
        <v>2016</v>
      </c>
      <c r="D24" s="28">
        <v>50</v>
      </c>
      <c r="E24" s="27">
        <v>1316325.25</v>
      </c>
      <c r="F24" s="12">
        <f t="shared" si="0"/>
        <v>26326.505000000001</v>
      </c>
      <c r="G24" s="23" t="s">
        <v>4</v>
      </c>
      <c r="H24" s="2"/>
    </row>
    <row r="25" spans="1:8" x14ac:dyDescent="0.25">
      <c r="A25" s="2"/>
      <c r="B25" s="47" t="s">
        <v>150</v>
      </c>
      <c r="C25" s="41">
        <v>2016</v>
      </c>
      <c r="D25" s="28">
        <v>75</v>
      </c>
      <c r="E25" s="27">
        <v>12081368.619999999</v>
      </c>
      <c r="F25" s="12">
        <f t="shared" si="0"/>
        <v>161084.91493333332</v>
      </c>
      <c r="G25" s="23" t="s">
        <v>4</v>
      </c>
      <c r="H25" s="2"/>
    </row>
    <row r="26" spans="1:8" ht="26.25" x14ac:dyDescent="0.25">
      <c r="A26" s="2"/>
      <c r="B26" s="47" t="s">
        <v>151</v>
      </c>
      <c r="C26" s="41">
        <v>2016</v>
      </c>
      <c r="D26" s="28">
        <v>50</v>
      </c>
      <c r="E26" s="27">
        <v>848845.26</v>
      </c>
      <c r="F26" s="12">
        <f t="shared" si="0"/>
        <v>16976.905200000001</v>
      </c>
      <c r="G26" s="23" t="s">
        <v>4</v>
      </c>
      <c r="H26" s="2"/>
    </row>
    <row r="27" spans="1:8" x14ac:dyDescent="0.25">
      <c r="A27" s="2"/>
      <c r="B27" s="47" t="s">
        <v>152</v>
      </c>
      <c r="C27" s="41">
        <v>2016</v>
      </c>
      <c r="D27" s="28">
        <v>20</v>
      </c>
      <c r="E27" s="27">
        <v>464583.11</v>
      </c>
      <c r="F27" s="12">
        <f t="shared" si="0"/>
        <v>23229.155500000001</v>
      </c>
      <c r="G27" s="23" t="s">
        <v>4</v>
      </c>
      <c r="H27" s="2"/>
    </row>
    <row r="28" spans="1:8" x14ac:dyDescent="0.25">
      <c r="A28" s="2"/>
      <c r="B28" s="47" t="s">
        <v>153</v>
      </c>
      <c r="C28" s="41">
        <v>2016</v>
      </c>
      <c r="D28" s="28">
        <v>10</v>
      </c>
      <c r="E28" s="27">
        <v>46132.89</v>
      </c>
      <c r="F28" s="12">
        <f t="shared" si="0"/>
        <v>4613.2889999999998</v>
      </c>
      <c r="G28" s="23" t="s">
        <v>4</v>
      </c>
      <c r="H28" s="2"/>
    </row>
    <row r="29" spans="1:8" ht="26.25" x14ac:dyDescent="0.25">
      <c r="A29" s="2"/>
      <c r="B29" s="47" t="s">
        <v>158</v>
      </c>
      <c r="C29" s="41">
        <v>2016</v>
      </c>
      <c r="D29" s="28">
        <v>20</v>
      </c>
      <c r="E29" s="27">
        <v>71969.919999999998</v>
      </c>
      <c r="F29" s="12">
        <f t="shared" si="0"/>
        <v>3598.4960000000001</v>
      </c>
      <c r="G29" s="23" t="s">
        <v>4</v>
      </c>
      <c r="H29" s="2"/>
    </row>
    <row r="30" spans="1:8" ht="26.25" x14ac:dyDescent="0.25">
      <c r="A30" s="2"/>
      <c r="B30" s="47" t="s">
        <v>159</v>
      </c>
      <c r="C30" s="41">
        <v>2016</v>
      </c>
      <c r="D30" s="28">
        <v>10</v>
      </c>
      <c r="E30" s="27">
        <v>34611.699999999997</v>
      </c>
      <c r="F30" s="12">
        <f t="shared" si="0"/>
        <v>3461.1699999999996</v>
      </c>
      <c r="G30" s="23" t="s">
        <v>4</v>
      </c>
      <c r="H30" s="2"/>
    </row>
    <row r="31" spans="1:8" x14ac:dyDescent="0.25">
      <c r="A31" s="2"/>
      <c r="B31" s="47" t="s">
        <v>160</v>
      </c>
      <c r="C31" s="41">
        <v>2016</v>
      </c>
      <c r="D31" s="28">
        <v>75</v>
      </c>
      <c r="E31" s="27">
        <v>105625.87</v>
      </c>
      <c r="F31" s="12">
        <f t="shared" si="0"/>
        <v>1408.3449333333333</v>
      </c>
      <c r="G31" s="23" t="s">
        <v>4</v>
      </c>
      <c r="H31" s="2"/>
    </row>
    <row r="32" spans="1:8" x14ac:dyDescent="0.25">
      <c r="A32" s="2"/>
      <c r="B32" s="47" t="s">
        <v>154</v>
      </c>
      <c r="C32" s="41">
        <v>2016</v>
      </c>
      <c r="D32" s="28">
        <v>75</v>
      </c>
      <c r="E32" s="27">
        <v>16227262.779999999</v>
      </c>
      <c r="F32" s="12">
        <f t="shared" si="0"/>
        <v>216363.50373333332</v>
      </c>
      <c r="G32" s="23" t="s">
        <v>4</v>
      </c>
      <c r="H32" s="2"/>
    </row>
    <row r="33" spans="1:8" x14ac:dyDescent="0.25">
      <c r="A33" s="2"/>
      <c r="B33" s="47" t="s">
        <v>155</v>
      </c>
      <c r="C33" s="41">
        <v>2016</v>
      </c>
      <c r="D33" s="28">
        <v>75</v>
      </c>
      <c r="E33" s="27">
        <v>7896467.6799999997</v>
      </c>
      <c r="F33" s="12">
        <f t="shared" si="0"/>
        <v>105286.23573333333</v>
      </c>
      <c r="G33" s="23" t="s">
        <v>4</v>
      </c>
      <c r="H33" s="2"/>
    </row>
    <row r="34" spans="1:8" x14ac:dyDescent="0.25">
      <c r="A34" s="2"/>
      <c r="B34" s="47" t="s">
        <v>156</v>
      </c>
      <c r="C34" s="41">
        <v>2016</v>
      </c>
      <c r="D34" s="28">
        <v>75</v>
      </c>
      <c r="E34" s="27">
        <v>2058566.93</v>
      </c>
      <c r="F34" s="12">
        <f t="shared" si="0"/>
        <v>27447.559066666665</v>
      </c>
      <c r="G34" s="23" t="s">
        <v>4</v>
      </c>
      <c r="H34" s="2"/>
    </row>
    <row r="35" spans="1:8" x14ac:dyDescent="0.25">
      <c r="A35" s="2"/>
      <c r="B35" s="99" t="s">
        <v>76</v>
      </c>
      <c r="C35" s="100"/>
      <c r="D35" s="100"/>
      <c r="E35" s="101"/>
      <c r="F35" s="21">
        <f>SUM(F10:F34)</f>
        <v>1002053.3961333333</v>
      </c>
      <c r="G35" s="22" t="s">
        <v>4</v>
      </c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</sheetData>
  <sheetProtection password="DFE9" sheet="1" objects="1" scenarios="1"/>
  <mergeCells count="4">
    <mergeCell ref="B35:E3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177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89" t="s">
        <v>78</v>
      </c>
      <c r="C9" s="90"/>
      <c r="D9" s="90"/>
      <c r="E9" s="90"/>
      <c r="F9" s="91"/>
      <c r="G9" s="27">
        <v>36489017</v>
      </c>
      <c r="H9" s="23" t="s">
        <v>4</v>
      </c>
      <c r="I9" s="2"/>
    </row>
    <row r="10" spans="1:9" x14ac:dyDescent="0.25">
      <c r="A10" s="2"/>
      <c r="B10" s="89" t="s">
        <v>79</v>
      </c>
      <c r="C10" s="90"/>
      <c r="D10" s="90"/>
      <c r="E10" s="90"/>
      <c r="F10" s="91"/>
      <c r="G10" s="27">
        <v>31723250</v>
      </c>
      <c r="H10" s="23" t="s">
        <v>4</v>
      </c>
      <c r="I10" s="2"/>
    </row>
    <row r="11" spans="1:9" x14ac:dyDescent="0.25">
      <c r="A11" s="2"/>
      <c r="B11" s="99" t="s">
        <v>178</v>
      </c>
      <c r="C11" s="100"/>
      <c r="D11" s="100"/>
      <c r="E11" s="100"/>
      <c r="F11" s="101"/>
      <c r="G11" s="21">
        <f>G9-G10</f>
        <v>4765767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179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89" t="s">
        <v>80</v>
      </c>
      <c r="C15" s="90"/>
      <c r="D15" s="90"/>
      <c r="E15" s="90"/>
      <c r="F15" s="91"/>
      <c r="G15" s="27">
        <v>1791504</v>
      </c>
      <c r="H15" s="23" t="s">
        <v>4</v>
      </c>
      <c r="I15" s="2"/>
    </row>
    <row r="16" spans="1:9" x14ac:dyDescent="0.25">
      <c r="A16" s="2"/>
      <c r="B16" s="89" t="s">
        <v>81</v>
      </c>
      <c r="C16" s="90"/>
      <c r="D16" s="90"/>
      <c r="E16" s="90"/>
      <c r="F16" s="91"/>
      <c r="G16" s="27">
        <v>2510000</v>
      </c>
      <c r="H16" s="23" t="s">
        <v>4</v>
      </c>
      <c r="I16" s="2"/>
    </row>
    <row r="17" spans="1:9" x14ac:dyDescent="0.25">
      <c r="A17" s="2"/>
      <c r="B17" s="99" t="s">
        <v>179</v>
      </c>
      <c r="C17" s="100"/>
      <c r="D17" s="100"/>
      <c r="E17" s="100"/>
      <c r="F17" s="101"/>
      <c r="G17" s="21">
        <f>G15-G16</f>
        <v>-718496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180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89" t="s">
        <v>82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89" t="s">
        <v>83</v>
      </c>
      <c r="C22" s="90"/>
      <c r="D22" s="90"/>
      <c r="E22" s="90"/>
      <c r="F22" s="91"/>
      <c r="G22" s="27">
        <v>0</v>
      </c>
      <c r="H22" s="23" t="s">
        <v>4</v>
      </c>
      <c r="I22" s="2"/>
    </row>
    <row r="23" spans="1:9" x14ac:dyDescent="0.25">
      <c r="A23" s="2"/>
      <c r="B23" s="99" t="s">
        <v>180</v>
      </c>
      <c r="C23" s="100"/>
      <c r="D23" s="100"/>
      <c r="E23" s="100"/>
      <c r="F23" s="101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181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86" t="s">
        <v>84</v>
      </c>
      <c r="C27" s="87"/>
      <c r="D27" s="87"/>
      <c r="E27" s="87"/>
      <c r="F27" s="88"/>
      <c r="G27" s="27">
        <v>2798138</v>
      </c>
      <c r="H27" s="23" t="s">
        <v>4</v>
      </c>
      <c r="I27" s="2"/>
    </row>
    <row r="28" spans="1:9" x14ac:dyDescent="0.25">
      <c r="A28" s="2"/>
      <c r="B28" s="89" t="s">
        <v>85</v>
      </c>
      <c r="C28" s="90"/>
      <c r="D28" s="90"/>
      <c r="E28" s="90"/>
      <c r="F28" s="91"/>
      <c r="G28" s="27">
        <v>2062165</v>
      </c>
      <c r="H28" s="23" t="s">
        <v>4</v>
      </c>
      <c r="I28" s="2"/>
    </row>
    <row r="29" spans="1:9" ht="15" customHeight="1" x14ac:dyDescent="0.25">
      <c r="A29" s="2"/>
      <c r="B29" s="104" t="s">
        <v>181</v>
      </c>
      <c r="C29" s="105"/>
      <c r="D29" s="105"/>
      <c r="E29" s="105"/>
      <c r="F29" s="106"/>
      <c r="G29" s="21">
        <f>G27-G28</f>
        <v>735973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89" t="s">
        <v>87</v>
      </c>
      <c r="C33" s="90"/>
      <c r="D33" s="90"/>
      <c r="E33" s="90"/>
      <c r="F33" s="91"/>
      <c r="G33" s="12">
        <f>'Fane 8. Gen. inv. i 2016'!F35</f>
        <v>1002053.3961333333</v>
      </c>
      <c r="H33" s="23" t="s">
        <v>4</v>
      </c>
      <c r="I33" s="2"/>
    </row>
    <row r="34" spans="1:9" x14ac:dyDescent="0.25">
      <c r="A34" s="2"/>
      <c r="B34" s="89" t="s">
        <v>88</v>
      </c>
      <c r="C34" s="90"/>
      <c r="D34" s="90"/>
      <c r="E34" s="90"/>
      <c r="F34" s="91"/>
      <c r="G34" s="27">
        <v>1168333.3333333335</v>
      </c>
      <c r="H34" s="23" t="s">
        <v>4</v>
      </c>
      <c r="I34" s="2"/>
    </row>
    <row r="35" spans="1:9" x14ac:dyDescent="0.25">
      <c r="A35" s="2"/>
      <c r="B35" s="99" t="s">
        <v>86</v>
      </c>
      <c r="C35" s="100"/>
      <c r="D35" s="100"/>
      <c r="E35" s="100"/>
      <c r="F35" s="101"/>
      <c r="G35" s="21">
        <f>G33-G34</f>
        <v>-166279.93720000016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90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132783324.95761138</v>
      </c>
      <c r="H9" s="38" t="s">
        <v>4</v>
      </c>
      <c r="I9" s="2"/>
    </row>
    <row r="10" spans="1:9" x14ac:dyDescent="0.25">
      <c r="A10" s="2"/>
      <c r="B10" s="99" t="s">
        <v>92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73873543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93</v>
      </c>
      <c r="C12" s="90"/>
      <c r="D12" s="91"/>
      <c r="E12" s="27">
        <v>4700366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94</v>
      </c>
      <c r="C13" s="90"/>
      <c r="D13" s="91"/>
      <c r="E13" s="27">
        <v>-89874.503000000259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95</v>
      </c>
      <c r="C14" s="90"/>
      <c r="D14" s="91"/>
      <c r="E14" s="27">
        <v>2281667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80765701.496999994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4023368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4023368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-3989240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-63419370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-14393166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-453046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-86600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-82341422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2447647.4969999939</v>
      </c>
      <c r="F28" s="38" t="s">
        <v>4</v>
      </c>
      <c r="G28" s="1">
        <f>IF(E28&lt;0,0,-E28)</f>
        <v>-2447647.4969999939</v>
      </c>
      <c r="H28" s="38" t="s">
        <v>4</v>
      </c>
      <c r="I28" s="2"/>
    </row>
    <row r="29" spans="1:9" x14ac:dyDescent="0.25">
      <c r="A29" s="2"/>
      <c r="B29" s="99" t="s">
        <v>96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8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98640550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10507735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109148285</v>
      </c>
      <c r="F35" s="38" t="s">
        <v>4</v>
      </c>
      <c r="G35" s="18">
        <f>-E35</f>
        <v>-109148285</v>
      </c>
      <c r="H35" s="38" t="s">
        <v>4</v>
      </c>
      <c r="I35" s="2"/>
    </row>
    <row r="36" spans="1:9" x14ac:dyDescent="0.25">
      <c r="A36" s="2"/>
      <c r="B36" s="99" t="s">
        <v>97</v>
      </c>
      <c r="C36" s="100"/>
      <c r="D36" s="100"/>
      <c r="E36" s="100"/>
      <c r="F36" s="101"/>
      <c r="G36" s="21">
        <f>$G$9+$G$28+$G$30+$G$35</f>
        <v>21187392.460611388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126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174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116</v>
      </c>
      <c r="C9" s="94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119" t="s">
        <v>175</v>
      </c>
      <c r="C10" s="120"/>
      <c r="D10" s="48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133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145</v>
      </c>
      <c r="C12" s="101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170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187</v>
      </c>
      <c r="C16" s="93"/>
      <c r="D16" s="93"/>
      <c r="E16" s="94"/>
      <c r="F16" s="117" t="s">
        <v>171</v>
      </c>
      <c r="G16" s="117"/>
      <c r="H16" s="2"/>
    </row>
    <row r="17" spans="1:8" x14ac:dyDescent="0.25">
      <c r="A17" s="2"/>
      <c r="B17" s="89" t="s">
        <v>183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172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173</v>
      </c>
      <c r="C19" s="100"/>
      <c r="D19" s="100"/>
      <c r="E19" s="101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117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119</v>
      </c>
      <c r="C9" s="46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35" t="s">
        <v>182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128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144</v>
      </c>
      <c r="C12" s="101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109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156572513.76740366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47810504.280984275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121</v>
      </c>
      <c r="C11" s="90"/>
      <c r="D11" s="91"/>
      <c r="E11" s="12">
        <f>'Fane 4. Ikke-påvirkelige omk.'!G20</f>
        <v>-10928783.648739003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185</v>
      </c>
      <c r="C12" s="52"/>
      <c r="D12" s="53"/>
      <c r="E12" s="12">
        <f>'Fane 5. Individuelt eff.krav'!G10</f>
        <v>-1655343.2921680014</v>
      </c>
      <c r="F12" s="9" t="s">
        <v>4</v>
      </c>
      <c r="G12" s="13"/>
      <c r="H12" s="14"/>
      <c r="I12" s="2"/>
    </row>
    <row r="13" spans="1:9" x14ac:dyDescent="0.25">
      <c r="A13" s="2"/>
      <c r="B13" s="86" t="s">
        <v>129</v>
      </c>
      <c r="C13" s="87"/>
      <c r="D13" s="88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130</v>
      </c>
      <c r="C14" s="87"/>
      <c r="D14" s="88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170</v>
      </c>
      <c r="C15" s="87"/>
      <c r="D15" s="88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131</v>
      </c>
      <c r="C16" s="87"/>
      <c r="D16" s="88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132</v>
      </c>
      <c r="C17" s="87"/>
      <c r="D17" s="88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5" t="s">
        <v>123</v>
      </c>
      <c r="C19" s="90"/>
      <c r="D19" s="91"/>
      <c r="E19" s="12">
        <f>SUM(E9,E11:E17)*(E18/100)</f>
        <v>2519796.7694636919</v>
      </c>
      <c r="F19" s="9" t="s">
        <v>4</v>
      </c>
      <c r="G19" s="13"/>
      <c r="H19" s="14"/>
      <c r="I19" s="2"/>
    </row>
    <row r="20" spans="1:9" x14ac:dyDescent="0.25">
      <c r="A20" s="2"/>
      <c r="B20" s="89" t="s">
        <v>15</v>
      </c>
      <c r="C20" s="90"/>
      <c r="D20" s="91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89" t="s">
        <v>16</v>
      </c>
      <c r="C21" s="90"/>
      <c r="D21" s="91"/>
      <c r="E21" s="12">
        <f>'Fane 6. Generelt eff.krav'!G17</f>
        <v>1981331.7876980158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176</v>
      </c>
      <c r="C22" s="97"/>
      <c r="D22" s="98"/>
      <c r="E22" s="18">
        <f>SUM(E9,E11:E17,E19)-SUM(E20:E21)</f>
        <v>144526851.80826232</v>
      </c>
      <c r="F22" s="19" t="s">
        <v>4</v>
      </c>
      <c r="G22" s="18">
        <f>E22</f>
        <v>144526851.80826232</v>
      </c>
      <c r="H22" s="19" t="s">
        <v>4</v>
      </c>
      <c r="I22" s="2"/>
    </row>
    <row r="23" spans="1:9" x14ac:dyDescent="0.25">
      <c r="A23" s="2"/>
      <c r="B23" s="99" t="s">
        <v>17</v>
      </c>
      <c r="C23" s="100"/>
      <c r="D23" s="100"/>
      <c r="E23" s="100"/>
      <c r="F23" s="100"/>
      <c r="G23" s="100"/>
      <c r="H23" s="101"/>
      <c r="I23" s="2"/>
    </row>
    <row r="24" spans="1:9" x14ac:dyDescent="0.25">
      <c r="A24" s="2"/>
      <c r="B24" s="92" t="s">
        <v>55</v>
      </c>
      <c r="C24" s="93"/>
      <c r="D24" s="94"/>
      <c r="E24" s="18">
        <f>'Fane 7. Hist. over el. underdæk'!G13</f>
        <v>-4876505.4144620821</v>
      </c>
      <c r="F24" s="19" t="s">
        <v>4</v>
      </c>
      <c r="G24" s="18">
        <f>E24</f>
        <v>-4876505.4144620821</v>
      </c>
      <c r="H24" s="19" t="s">
        <v>4</v>
      </c>
      <c r="I24" s="2"/>
    </row>
    <row r="25" spans="1:9" x14ac:dyDescent="0.25">
      <c r="A25" s="2"/>
      <c r="B25" s="99" t="s">
        <v>98</v>
      </c>
      <c r="C25" s="100"/>
      <c r="D25" s="100"/>
      <c r="E25" s="100"/>
      <c r="F25" s="100"/>
      <c r="G25" s="100"/>
      <c r="H25" s="101"/>
      <c r="I25" s="2"/>
    </row>
    <row r="26" spans="1:9" x14ac:dyDescent="0.25">
      <c r="A26" s="2"/>
      <c r="B26" s="86" t="s">
        <v>105</v>
      </c>
      <c r="C26" s="87"/>
      <c r="D26" s="88"/>
      <c r="E26" s="12">
        <f>'Fane 9. Korrektion af PL2016'!G11</f>
        <v>4765767</v>
      </c>
      <c r="F26" s="9" t="s">
        <v>4</v>
      </c>
      <c r="G26" s="20"/>
      <c r="H26" s="11"/>
      <c r="I26" s="2"/>
    </row>
    <row r="27" spans="1:9" x14ac:dyDescent="0.25">
      <c r="A27" s="2"/>
      <c r="B27" s="86" t="s">
        <v>99</v>
      </c>
      <c r="C27" s="87"/>
      <c r="D27" s="88"/>
      <c r="E27" s="12">
        <f>'Fane 9. Korrektion af PL2016'!G17</f>
        <v>-718496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6" t="s">
        <v>100</v>
      </c>
      <c r="C28" s="87"/>
      <c r="D28" s="88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6" t="s">
        <v>101</v>
      </c>
      <c r="C29" s="87"/>
      <c r="D29" s="88"/>
      <c r="E29" s="12">
        <f>'Fane 9. Korrektion af PL2016'!G29</f>
        <v>735973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6" t="s">
        <v>102</v>
      </c>
      <c r="C30" s="87"/>
      <c r="D30" s="88"/>
      <c r="E30" s="12">
        <f>'Fane 9. Korrektion af PL2016'!G35</f>
        <v>-166279.93720000016</v>
      </c>
      <c r="F30" s="9" t="s">
        <v>4</v>
      </c>
      <c r="G30" s="15"/>
      <c r="H30" s="14"/>
      <c r="I30" s="2"/>
    </row>
    <row r="31" spans="1:9" x14ac:dyDescent="0.25">
      <c r="A31" s="2"/>
      <c r="B31" s="92" t="s">
        <v>103</v>
      </c>
      <c r="C31" s="93"/>
      <c r="D31" s="94"/>
      <c r="E31" s="18">
        <f>SUM(E26:E30)</f>
        <v>4616964.0627999995</v>
      </c>
      <c r="F31" s="19" t="s">
        <v>4</v>
      </c>
      <c r="G31" s="18">
        <f>E31</f>
        <v>4616964.0627999995</v>
      </c>
      <c r="H31" s="19" t="s">
        <v>4</v>
      </c>
      <c r="I31" s="2"/>
    </row>
    <row r="32" spans="1:9" x14ac:dyDescent="0.25">
      <c r="A32" s="2"/>
      <c r="B32" s="99" t="s">
        <v>18</v>
      </c>
      <c r="C32" s="100"/>
      <c r="D32" s="100"/>
      <c r="E32" s="100"/>
      <c r="F32" s="100"/>
      <c r="G32" s="100"/>
      <c r="H32" s="101"/>
      <c r="I32" s="2"/>
    </row>
    <row r="33" spans="1:9" x14ac:dyDescent="0.25">
      <c r="A33" s="2"/>
      <c r="B33" s="92" t="s">
        <v>104</v>
      </c>
      <c r="C33" s="93"/>
      <c r="D33" s="94"/>
      <c r="E33" s="18">
        <f>'Fane 10. Kontrol af PL2016'!G36</f>
        <v>21187392.460611388</v>
      </c>
      <c r="F33" s="19" t="s">
        <v>4</v>
      </c>
      <c r="G33" s="18">
        <f>E33</f>
        <v>21187392.460611388</v>
      </c>
      <c r="H33" s="19" t="s">
        <v>4</v>
      </c>
      <c r="I33" s="2"/>
    </row>
    <row r="34" spans="1:9" x14ac:dyDescent="0.25">
      <c r="A34" s="2"/>
      <c r="B34" s="99" t="s">
        <v>62</v>
      </c>
      <c r="C34" s="100"/>
      <c r="D34" s="100"/>
      <c r="E34" s="100"/>
      <c r="F34" s="101"/>
      <c r="G34" s="21">
        <f>G22+G24+G31+G33</f>
        <v>165454702.91721159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106</v>
      </c>
      <c r="C9" s="87"/>
      <c r="D9" s="88"/>
      <c r="E9" s="8">
        <f>'Fane 2.1. Økonomisk ramme 2018'!G22</f>
        <v>144526851.80826232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</f>
        <v>37527150.743309565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2018'!E18/100</f>
        <v>2529219.9066445907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1979422.5520959285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176</v>
      </c>
      <c r="C14" s="97"/>
      <c r="D14" s="98"/>
      <c r="E14" s="18">
        <f>$E$9+$E$11-$E$12-$E$13</f>
        <v>145076649.16281098</v>
      </c>
      <c r="F14" s="19" t="s">
        <v>4</v>
      </c>
      <c r="G14" s="18">
        <f>E14</f>
        <v>145076649.16281098</v>
      </c>
      <c r="H14" s="19" t="s">
        <v>4</v>
      </c>
      <c r="I14" s="2"/>
    </row>
    <row r="15" spans="1:9" x14ac:dyDescent="0.25">
      <c r="A15" s="2"/>
      <c r="B15" s="99" t="s">
        <v>17</v>
      </c>
      <c r="C15" s="100"/>
      <c r="D15" s="100"/>
      <c r="E15" s="100"/>
      <c r="F15" s="100"/>
      <c r="G15" s="100"/>
      <c r="H15" s="101"/>
      <c r="I15" s="2"/>
    </row>
    <row r="16" spans="1:9" ht="15" customHeight="1" x14ac:dyDescent="0.25">
      <c r="A16" s="2"/>
      <c r="B16" s="92" t="s">
        <v>55</v>
      </c>
      <c r="C16" s="93"/>
      <c r="D16" s="94"/>
      <c r="E16" s="18">
        <f>IF('Fane 7. Hist. over el. underdæk'!$G$12&gt;1,'Fane 7. Hist. over el. underdæk'!$G$13,0)</f>
        <v>-4876505.4144620821</v>
      </c>
      <c r="F16" s="19" t="s">
        <v>4</v>
      </c>
      <c r="G16" s="18">
        <f>E16</f>
        <v>-4876505.4144620821</v>
      </c>
      <c r="H16" s="19" t="s">
        <v>4</v>
      </c>
      <c r="I16" s="2"/>
    </row>
    <row r="17" spans="1:9" x14ac:dyDescent="0.25">
      <c r="A17" s="2"/>
      <c r="B17" s="99" t="s">
        <v>107</v>
      </c>
      <c r="C17" s="100"/>
      <c r="D17" s="100"/>
      <c r="E17" s="100"/>
      <c r="F17" s="101"/>
      <c r="G17" s="21">
        <f>G14+G16</f>
        <v>140200143.74834889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188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189</v>
      </c>
      <c r="C9" s="87"/>
      <c r="D9" s="88"/>
      <c r="E9" s="8">
        <f>'Fane 2.2. Økonomisk ramme 2019'!G14</f>
        <v>145076649.16281098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2018'!E18/100)^2</f>
        <v>38183875.881317489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2018'!E18/100</f>
        <v>2538841.3603491918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60" t="s">
        <v>16</v>
      </c>
      <c r="C13" s="58"/>
      <c r="D13" s="59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1977516.8525941009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176</v>
      </c>
      <c r="C14" s="97"/>
      <c r="D14" s="98"/>
      <c r="E14" s="18">
        <f>$E$9+$E$11-$E$12-$E$13</f>
        <v>145637973.67056605</v>
      </c>
      <c r="F14" s="19" t="s">
        <v>4</v>
      </c>
      <c r="G14" s="18">
        <f>E14</f>
        <v>145637973.67056605</v>
      </c>
      <c r="H14" s="19" t="s">
        <v>4</v>
      </c>
      <c r="I14" s="2"/>
    </row>
    <row r="15" spans="1:9" x14ac:dyDescent="0.25">
      <c r="A15" s="2"/>
      <c r="B15" s="99" t="s">
        <v>17</v>
      </c>
      <c r="C15" s="100"/>
      <c r="D15" s="100"/>
      <c r="E15" s="100"/>
      <c r="F15" s="100"/>
      <c r="G15" s="100"/>
      <c r="H15" s="101"/>
      <c r="I15" s="2"/>
    </row>
    <row r="16" spans="1:9" ht="15" customHeight="1" x14ac:dyDescent="0.25">
      <c r="A16" s="2"/>
      <c r="B16" s="92" t="s">
        <v>55</v>
      </c>
      <c r="C16" s="93"/>
      <c r="D16" s="94"/>
      <c r="E16" s="18">
        <f>IF('Fane 7. Hist. over el. underdæk'!$G$12&gt;2,'Fane 7. Hist. over el. underdæk'!$G$13,0)</f>
        <v>-4876505.4144620821</v>
      </c>
      <c r="F16" s="19" t="s">
        <v>4</v>
      </c>
      <c r="G16" s="18">
        <f>E16</f>
        <v>-4876505.4144620821</v>
      </c>
      <c r="H16" s="19" t="s">
        <v>4</v>
      </c>
      <c r="I16" s="2"/>
    </row>
    <row r="17" spans="1:9" x14ac:dyDescent="0.25">
      <c r="A17" s="2"/>
      <c r="B17" s="99" t="s">
        <v>190</v>
      </c>
      <c r="C17" s="100"/>
      <c r="D17" s="100"/>
      <c r="E17" s="100"/>
      <c r="F17" s="101"/>
      <c r="G17" s="21">
        <f>G14+G16</f>
        <v>140761468.25610396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191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192</v>
      </c>
      <c r="C9" s="87"/>
      <c r="D9" s="88"/>
      <c r="E9" s="8">
        <f>'Fane 2.3. Økonomisk ramme 2020'!G14</f>
        <v>145637973.67056605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2018'!E15))*(1+'Fane 2.1. Økonomisk ramme 2018'!E18/100)^3</f>
        <v>38852093.709240541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2018'!E18/100</f>
        <v>2548664.539234906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60" t="s">
        <v>16</v>
      </c>
      <c r="C13" s="58"/>
      <c r="D13" s="59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1975614.6800858337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176</v>
      </c>
      <c r="C14" s="97"/>
      <c r="D14" s="98"/>
      <c r="E14" s="18">
        <f>$E$9+$E$11-$E$12-$E$13</f>
        <v>146211023.52971512</v>
      </c>
      <c r="F14" s="19" t="s">
        <v>4</v>
      </c>
      <c r="G14" s="18">
        <f>E14</f>
        <v>146211023.52971512</v>
      </c>
      <c r="H14" s="19" t="s">
        <v>4</v>
      </c>
      <c r="I14" s="2"/>
    </row>
    <row r="15" spans="1:9" x14ac:dyDescent="0.25">
      <c r="A15" s="2"/>
      <c r="B15" s="99" t="s">
        <v>193</v>
      </c>
      <c r="C15" s="100"/>
      <c r="D15" s="100"/>
      <c r="E15" s="100"/>
      <c r="F15" s="101"/>
      <c r="G15" s="21">
        <f>G14</f>
        <v>146211023.52971512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141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110</v>
      </c>
      <c r="C9" s="90"/>
      <c r="D9" s="90"/>
      <c r="E9" s="90"/>
      <c r="F9" s="91"/>
      <c r="G9" s="27">
        <v>19267640.555345584</v>
      </c>
      <c r="H9" s="23" t="s">
        <v>4</v>
      </c>
      <c r="I9" s="2"/>
    </row>
    <row r="10" spans="1:9" x14ac:dyDescent="0.25">
      <c r="A10" s="2"/>
      <c r="B10" s="89" t="s">
        <v>111</v>
      </c>
      <c r="C10" s="90"/>
      <c r="D10" s="90"/>
      <c r="E10" s="90"/>
      <c r="F10" s="91"/>
      <c r="G10" s="27">
        <v>89494368.9310738</v>
      </c>
      <c r="H10" s="23" t="s">
        <v>4</v>
      </c>
      <c r="I10" s="2"/>
    </row>
    <row r="11" spans="1:9" x14ac:dyDescent="0.25">
      <c r="A11" s="2"/>
      <c r="B11" s="89" t="s">
        <v>138</v>
      </c>
      <c r="C11" s="90"/>
      <c r="D11" s="90"/>
      <c r="E11" s="90"/>
      <c r="F11" s="91"/>
      <c r="G11" s="27">
        <v>47810504.280984275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156572513.76740366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113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115</v>
      </c>
      <c r="C9" s="93"/>
      <c r="D9" s="9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161</v>
      </c>
      <c r="C10" s="109"/>
      <c r="D10" s="109"/>
      <c r="E10" s="49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162</v>
      </c>
      <c r="C11" s="109"/>
      <c r="D11" s="109"/>
      <c r="E11" s="49">
        <v>360169.13659999997</v>
      </c>
      <c r="F11" s="23" t="s">
        <v>4</v>
      </c>
      <c r="G11" s="27">
        <v>351724</v>
      </c>
      <c r="H11" s="23" t="s">
        <v>4</v>
      </c>
      <c r="I11" s="2"/>
    </row>
    <row r="12" spans="1:9" x14ac:dyDescent="0.25">
      <c r="A12" s="2"/>
      <c r="B12" s="108" t="s">
        <v>163</v>
      </c>
      <c r="C12" s="109"/>
      <c r="D12" s="109"/>
      <c r="E12" s="49">
        <v>3534668.0261999997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164</v>
      </c>
      <c r="C13" s="109"/>
      <c r="D13" s="109"/>
      <c r="E13" s="49">
        <v>16199.208199999999</v>
      </c>
      <c r="F13" s="23" t="s">
        <v>4</v>
      </c>
      <c r="G13" s="27">
        <v>65524</v>
      </c>
      <c r="H13" s="23" t="s">
        <v>4</v>
      </c>
      <c r="I13" s="2"/>
    </row>
    <row r="14" spans="1:9" x14ac:dyDescent="0.25">
      <c r="A14" s="2"/>
      <c r="B14" s="108" t="s">
        <v>165</v>
      </c>
      <c r="C14" s="109"/>
      <c r="D14" s="109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166</v>
      </c>
      <c r="C15" s="109"/>
      <c r="D15" s="109"/>
      <c r="E15" s="49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8" t="s">
        <v>167</v>
      </c>
      <c r="C16" s="109"/>
      <c r="D16" s="109"/>
      <c r="E16" s="49">
        <v>41242957.939800002</v>
      </c>
      <c r="F16" s="23" t="s">
        <v>4</v>
      </c>
      <c r="G16" s="27">
        <v>35952819</v>
      </c>
      <c r="H16" s="23" t="s">
        <v>4</v>
      </c>
      <c r="I16" s="2"/>
    </row>
    <row r="17" spans="1:9" x14ac:dyDescent="0.25">
      <c r="A17" s="2"/>
      <c r="B17" s="108" t="s">
        <v>168</v>
      </c>
      <c r="C17" s="109"/>
      <c r="D17" s="109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ht="28.5" customHeight="1" x14ac:dyDescent="0.25">
      <c r="A18" s="2"/>
      <c r="B18" s="110" t="s">
        <v>169</v>
      </c>
      <c r="C18" s="110"/>
      <c r="D18" s="110"/>
      <c r="E18" s="49">
        <v>2056931</v>
      </c>
      <c r="F18" s="23" t="s">
        <v>4</v>
      </c>
      <c r="G18" s="27">
        <v>100039</v>
      </c>
      <c r="H18" s="23" t="s">
        <v>4</v>
      </c>
      <c r="I18" s="2"/>
    </row>
    <row r="19" spans="1:9" x14ac:dyDescent="0.25">
      <c r="A19" s="2"/>
      <c r="B19" s="99" t="s">
        <v>134</v>
      </c>
      <c r="C19" s="100"/>
      <c r="D19" s="100"/>
      <c r="E19" s="100"/>
      <c r="F19" s="101"/>
      <c r="G19" s="21">
        <f>SUM(G10:G18)-SUM(E10:E18)</f>
        <v>-10740819.310800001</v>
      </c>
      <c r="H19" s="22" t="s">
        <v>4</v>
      </c>
      <c r="I19" s="2"/>
    </row>
    <row r="20" spans="1:9" x14ac:dyDescent="0.25">
      <c r="A20" s="2"/>
      <c r="B20" s="99" t="s">
        <v>135</v>
      </c>
      <c r="C20" s="100"/>
      <c r="D20" s="100"/>
      <c r="E20" s="100"/>
      <c r="F20" s="101"/>
      <c r="G20" s="21">
        <f>G19*(1+'Fane 2.1. Økonomisk ramme 2018'!E18/100)</f>
        <v>-10928783.648739003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2018'!E13:E14,'Fane 2.1. Økonomisk ramme 2018'!E16:E17)</f>
        <v>108762009.48641938</v>
      </c>
      <c r="H9" s="23" t="s">
        <v>4</v>
      </c>
      <c r="I9" s="2"/>
    </row>
    <row r="10" spans="1:9" x14ac:dyDescent="0.25">
      <c r="A10" s="2"/>
      <c r="B10" s="54" t="s">
        <v>185</v>
      </c>
      <c r="C10" s="52"/>
      <c r="D10" s="52"/>
      <c r="E10" s="52"/>
      <c r="F10" s="53"/>
      <c r="G10" s="12">
        <v>-1655343.2921680014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2018'!E16))</f>
        <v>19267640.555345584</v>
      </c>
      <c r="H9" s="23" t="s">
        <v>4</v>
      </c>
      <c r="I9" s="2"/>
    </row>
    <row r="10" spans="1:9" x14ac:dyDescent="0.25">
      <c r="A10" s="2"/>
      <c r="B10" s="55" t="s">
        <v>184</v>
      </c>
      <c r="C10" s="56"/>
      <c r="D10" s="56"/>
      <c r="E10" s="56"/>
      <c r="F10" s="57"/>
      <c r="G10" s="12">
        <v>-385352.82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384254.55541428266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 xml:space="preserve"> 'Fane 3. Korrigeret grundlag'!G10+SUM('Fane 2.1. Økonomisk ramme 2018'!E14,'Fane 2.1. Økonomisk ramme 2018'!E17)</f>
        <v>89494368.9310738</v>
      </c>
      <c r="H13" s="23" t="s">
        <v>4</v>
      </c>
      <c r="I13" s="2"/>
    </row>
    <row r="14" spans="1:9" x14ac:dyDescent="0.25">
      <c r="A14" s="2"/>
      <c r="B14" s="54" t="s">
        <v>186</v>
      </c>
      <c r="C14" s="52"/>
      <c r="D14" s="52"/>
      <c r="E14" s="52"/>
      <c r="F14" s="53"/>
      <c r="G14" s="12">
        <v>-815890.20240000007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1597077.2322837331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1981331.7876980158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2017-10-13T15:45:56Z</dcterms:modified>
</cp:coreProperties>
</file>