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19" i="19"/>
  <c r="G20" i="19" s="1"/>
  <c r="E11" i="2" s="1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29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0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<sst xmlns="http://schemas.openxmlformats.org/spreadsheetml/2006/main" count="394" uniqueCount="198">
  <si>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</si>
  <si>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</si>
  <si>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</si>
  <si>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</si>
  <si>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</si>
  <si>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</si>
  <si>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</si>
  <si>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</si>
  <si>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</si>
  <si>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</si>
  <si>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</si>
  <si>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</si>
  <si>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</si>
  <si>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</si>
  <si>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</si>
  <si>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</si>
  <si>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</si>
  <si>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</si>
  <si>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</si>
  <si>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</si>
  <si>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</si>
  <si>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</si>
  <si>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</si>
  <si>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</si>
  <si>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</si>
  <si>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</si>
  <si>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</si>
  <si>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</si>
  <si>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</si>
  <si>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</si>
  <si>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</si>
  <si>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</si>
  <si>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</si>
  <si>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</si>
  <si>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</si>
  <si>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</si>
  <si>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</si>
  <si>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</si>
  <si>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</si>
  <si>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</si>
  <si>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</si>
  <si>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</si>
  <si>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</si>
  <si>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</si>
  <si>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</si>
  <si>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</si>
  <si>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</si>
  <si>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</si>
  <si>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</si>
  <si>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</si>
  <si>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</si>
  <si>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</si>
  <si>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</si>
  <si>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</si>
  <si>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</si>
  <si>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</si>
  <si>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</si>
  <si>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</si>
  <si>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</si>
  <si>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</si>
  <si>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</si>
  <si>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</si>
  <si>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</si>
  <si>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</si>
  <si>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</si>
  <si>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</si>
  <si>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</si>
  <si>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</si>
  <si>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</si>
  <si>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</si>
  <si>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</si>
  <si>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</si>
  <si>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</si>
  <si>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</si>
  <si>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</si>
  <si>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</si>
  <si>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</si>
  <si>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</si>
  <si>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</si>
  <si>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</si>
  <si>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</si>
  <si>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</si>
  <si>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</si>
  <si>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</si>
  <si>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</si>
  <si>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</si>
  <si>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</si>
  <si>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</si>
  <si>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</si>
  <si>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</si>
  <si>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</si>
  <si>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</si>
  <si>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</si>
  <si>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</si>
  <si>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</si>
  <si>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</si>
  <si>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</si>
  <si>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</si>
  <si>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</si>
  <si>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</si>
  <si>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</si>
  <si>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</si>
  <si>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</si>
  <si>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</si>
  <si>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</si>
  <si>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</si>
  <si>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</si>
  <si>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</si>
  <si>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</si>
  <si>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</si>
  <si>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</si>
  <si>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</si>
  <si>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</si>
  <si>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</si>
  <si>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</si>
  <si>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</si>
  <si>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</si>
  <si>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</si>
  <si>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</si>
  <si>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</si>
  <si>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</si>
  <si>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</si>
  <si>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</si>
  <si>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</si>
  <si>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</si>
  <si>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</si>
  <si>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</si>
  <si>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</si>
  <si>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</si>
  <si>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</si>
  <si>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</si>
  <si>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</si>
  <si>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</si>
  <si>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</si>
  <si>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</si>
  <si>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</si>
  <si>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</si>
  <si>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</si>
  <si>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</si>
  <si>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</si>
  <si>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</si>
  <si>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</si>
  <si>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</si>
  <si>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</si>
  <si>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</si>
  <si>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</si>
  <si>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</si>
  <si>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</si>
  <si>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</si>
  <si>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Ø 200 mm &lt; Ledningsnet ≤ Ø 500 mm</t>
  </si>
  <si>
    <t>Pumpestationer i brønde (&lt; 6,25 m2), Konstruktioner</t>
  </si>
  <si>
    <t>Pumpestationer i brønde (&lt; 6,25 m2), Mek/EL</t>
  </si>
  <si>
    <t>Pumpestationer m. overbygning (&lt; 20 m2), Mek/EL</t>
  </si>
  <si>
    <t>Indløb med riste, Mek/EL</t>
  </si>
  <si>
    <t>Indløb med riste, SRO</t>
  </si>
  <si>
    <t>Forafvanding, slam, Mek/EL</t>
  </si>
  <si>
    <t>Forafvanding, slam, SRO</t>
  </si>
  <si>
    <t>Ledningsnet ≤ Ø 200 mm</t>
  </si>
  <si>
    <t>Ø 500 mm &lt; Ledningsnet ≤ Ø 800 mm</t>
  </si>
  <si>
    <t>Brønde</t>
  </si>
  <si>
    <t>Strømpeforing ≤ Ø 200 mm</t>
  </si>
  <si>
    <t>Strømpeforing Ø 500 mm &lt; Ledningsnet ≤ Ø 800 mm</t>
  </si>
  <si>
    <t>Pumpestationer m. overbygning (&lt; 20 m2), Konstruktioner</t>
  </si>
  <si>
    <t>Pumpestationer i brønde (&lt; 6,25 m2), SRO</t>
  </si>
  <si>
    <t>Jordbassin Klasse B</t>
  </si>
  <si>
    <t>Andre bygninger (tekniske installationer, målere mv.)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</si>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</sst>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186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80</v>
      </c>
      <c r="C9" s="90"/>
      <c r="D9" s="90"/>
      <c r="E9" s="90"/>
      <c r="F9" s="91"/>
      <c r="G9" s="27">
        <v>1977825</v>
      </c>
      <c r="H9" s="23" t="s">
        <v>4</v>
      </c>
      <c r="I9" s="2"/>
    </row>
    <row r="10" spans="1:9" x14ac:dyDescent="0.25">
      <c r="A10" s="2"/>
      <c r="B10" s="89" t="s">
        <v>81</v>
      </c>
      <c r="C10" s="90"/>
      <c r="D10" s="90"/>
      <c r="E10" s="90"/>
      <c r="F10" s="91"/>
      <c r="G10" s="27">
        <v>1603640</v>
      </c>
      <c r="H10" s="23" t="s">
        <v>4</v>
      </c>
      <c r="I10" s="2"/>
    </row>
    <row r="11" spans="1:9" x14ac:dyDescent="0.25">
      <c r="A11" s="2"/>
      <c r="B11" s="99" t="s">
        <v>187</v>
      </c>
      <c r="C11" s="100"/>
      <c r="D11" s="100"/>
      <c r="E11" s="100"/>
      <c r="F11" s="101"/>
      <c r="G11" s="21">
        <f>G9-G10</f>
        <v>374185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188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82</v>
      </c>
      <c r="C15" s="90"/>
      <c r="D15" s="90"/>
      <c r="E15" s="90"/>
      <c r="F15" s="91"/>
      <c r="G15" s="27">
        <v>9471732</v>
      </c>
      <c r="H15" s="23" t="s">
        <v>4</v>
      </c>
      <c r="I15" s="2"/>
    </row>
    <row r="16" spans="1:9" x14ac:dyDescent="0.25">
      <c r="A16" s="2"/>
      <c r="B16" s="89" t="s">
        <v>83</v>
      </c>
      <c r="C16" s="90"/>
      <c r="D16" s="90"/>
      <c r="E16" s="90"/>
      <c r="F16" s="91"/>
      <c r="G16" s="27">
        <v>7379409</v>
      </c>
      <c r="H16" s="23" t="s">
        <v>4</v>
      </c>
      <c r="I16" s="2"/>
    </row>
    <row r="17" spans="1:9" x14ac:dyDescent="0.25">
      <c r="A17" s="2"/>
      <c r="B17" s="99" t="s">
        <v>188</v>
      </c>
      <c r="C17" s="100"/>
      <c r="D17" s="100"/>
      <c r="E17" s="100"/>
      <c r="F17" s="101"/>
      <c r="G17" s="21">
        <f>G15-G16</f>
        <v>2092323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189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84</v>
      </c>
      <c r="C21" s="90"/>
      <c r="D21" s="90"/>
      <c r="E21" s="90"/>
      <c r="F21" s="91"/>
      <c r="G21" s="27">
        <v>106295</v>
      </c>
      <c r="H21" s="23" t="s">
        <v>4</v>
      </c>
      <c r="I21" s="2"/>
    </row>
    <row r="22" spans="1:9" x14ac:dyDescent="0.25">
      <c r="A22" s="2"/>
      <c r="B22" s="89" t="s">
        <v>85</v>
      </c>
      <c r="C22" s="90"/>
      <c r="D22" s="90"/>
      <c r="E22" s="90"/>
      <c r="F22" s="91"/>
      <c r="G22" s="27">
        <v>20000</v>
      </c>
      <c r="H22" s="23" t="s">
        <v>4</v>
      </c>
      <c r="I22" s="2"/>
    </row>
    <row r="23" spans="1:9" x14ac:dyDescent="0.25">
      <c r="A23" s="2"/>
      <c r="B23" s="99" t="s">
        <v>189</v>
      </c>
      <c r="C23" s="100"/>
      <c r="D23" s="100"/>
      <c r="E23" s="100"/>
      <c r="F23" s="101"/>
      <c r="G23" s="21">
        <f>G21-G22</f>
        <v>86295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190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86</v>
      </c>
      <c r="C27" s="87"/>
      <c r="D27" s="87"/>
      <c r="E27" s="87"/>
      <c r="F27" s="88"/>
      <c r="G27" s="27">
        <v>1331033</v>
      </c>
      <c r="H27" s="23" t="s">
        <v>4</v>
      </c>
      <c r="I27" s="2"/>
    </row>
    <row r="28" spans="1:9" x14ac:dyDescent="0.25">
      <c r="A28" s="2"/>
      <c r="B28" s="89" t="s">
        <v>87</v>
      </c>
      <c r="C28" s="90"/>
      <c r="D28" s="90"/>
      <c r="E28" s="90"/>
      <c r="F28" s="91"/>
      <c r="G28" s="27">
        <v>10000</v>
      </c>
      <c r="H28" s="23" t="s">
        <v>4</v>
      </c>
      <c r="I28" s="2"/>
    </row>
    <row r="29" spans="1:9" ht="15" customHeight="1" x14ac:dyDescent="0.25">
      <c r="A29" s="2"/>
      <c r="B29" s="104" t="s">
        <v>190</v>
      </c>
      <c r="C29" s="105"/>
      <c r="D29" s="105"/>
      <c r="E29" s="105"/>
      <c r="F29" s="106"/>
      <c r="G29" s="21">
        <f>G27-G28</f>
        <v>1321033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89</v>
      </c>
      <c r="C33" s="90"/>
      <c r="D33" s="90"/>
      <c r="E33" s="90"/>
      <c r="F33" s="91"/>
      <c r="G33" s="12">
        <f>'Fane 8. Gen. inv. i 2016'!F30</f>
        <v>1180833.55</v>
      </c>
      <c r="H33" s="23" t="s">
        <v>4</v>
      </c>
      <c r="I33" s="2"/>
    </row>
    <row r="34" spans="1:9" x14ac:dyDescent="0.25">
      <c r="A34" s="2"/>
      <c r="B34" s="89" t="s">
        <v>90</v>
      </c>
      <c r="C34" s="90"/>
      <c r="D34" s="90"/>
      <c r="E34" s="90"/>
      <c r="F34" s="91"/>
      <c r="G34" s="27">
        <v>2509150</v>
      </c>
      <c r="H34" s="23" t="s">
        <v>4</v>
      </c>
      <c r="I34" s="2"/>
    </row>
    <row r="35" spans="1:9" x14ac:dyDescent="0.25">
      <c r="A35" s="2"/>
      <c r="B35" s="99" t="s">
        <v>88</v>
      </c>
      <c r="C35" s="100"/>
      <c r="D35" s="100"/>
      <c r="E35" s="100"/>
      <c r="F35" s="101"/>
      <c r="G35" s="21">
        <f>G33-G34</f>
        <v>-1328316.45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99" t="s">
        <v>191</v>
      </c>
      <c r="C38" s="100"/>
      <c r="D38" s="100"/>
      <c r="E38" s="100"/>
      <c r="F38" s="100"/>
      <c r="G38" s="100"/>
      <c r="H38" s="101"/>
      <c r="I38" s="2"/>
    </row>
    <row r="39" spans="1:9" x14ac:dyDescent="0.25">
      <c r="A39" s="2"/>
      <c r="B39" s="89" t="s">
        <v>146</v>
      </c>
      <c r="C39" s="90"/>
      <c r="D39" s="90"/>
      <c r="E39" s="90"/>
      <c r="F39" s="91"/>
      <c r="G39" s="27">
        <v>369457</v>
      </c>
      <c r="H39" s="23" t="s">
        <v>4</v>
      </c>
      <c r="I39" s="2"/>
    </row>
    <row r="40" spans="1:9" x14ac:dyDescent="0.25">
      <c r="A40" s="2"/>
      <c r="B40" s="89" t="s">
        <v>79</v>
      </c>
      <c r="C40" s="90"/>
      <c r="D40" s="90"/>
      <c r="E40" s="90"/>
      <c r="F40" s="91"/>
      <c r="G40" s="27">
        <v>3670309.115452223</v>
      </c>
      <c r="H40" s="23" t="s">
        <v>4</v>
      </c>
      <c r="I40" s="2"/>
    </row>
    <row r="41" spans="1:9" x14ac:dyDescent="0.25">
      <c r="A41" s="2"/>
      <c r="B41" s="99" t="s">
        <v>191</v>
      </c>
      <c r="C41" s="100"/>
      <c r="D41" s="100"/>
      <c r="E41" s="100"/>
      <c r="F41" s="101"/>
      <c r="G41" s="21">
        <f>G39-G40</f>
        <v>-3300852.115452223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92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93</v>
      </c>
      <c r="C9" s="97"/>
      <c r="D9" s="97"/>
      <c r="E9" s="97"/>
      <c r="F9" s="98"/>
      <c r="G9" s="26">
        <v>113811804.75693935</v>
      </c>
      <c r="H9" s="38" t="s">
        <v>4</v>
      </c>
      <c r="I9" s="2"/>
    </row>
    <row r="10" spans="1:9" x14ac:dyDescent="0.25">
      <c r="A10" s="2"/>
      <c r="B10" s="99" t="s">
        <v>94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55414869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95</v>
      </c>
      <c r="C12" s="90"/>
      <c r="D12" s="91"/>
      <c r="E12" s="27">
        <v>10015839.258333333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96</v>
      </c>
      <c r="C13" s="90"/>
      <c r="D13" s="91"/>
      <c r="E13" s="27">
        <v>2192142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97</v>
      </c>
      <c r="C14" s="90"/>
      <c r="D14" s="91"/>
      <c r="E14" s="27">
        <v>4436217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72059067.258333325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4025184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1537650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5562834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-7368318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-49250539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-19698819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-2483346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-78801022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-1179120.7416666746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9" t="s">
        <v>98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98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85377715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4635586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90013301</v>
      </c>
      <c r="F35" s="38" t="s">
        <v>4</v>
      </c>
      <c r="G35" s="18">
        <f>-E35</f>
        <v>-90013301</v>
      </c>
      <c r="H35" s="38" t="s">
        <v>4</v>
      </c>
      <c r="I35" s="2"/>
    </row>
    <row r="36" spans="1:9" x14ac:dyDescent="0.25">
      <c r="A36" s="2"/>
      <c r="B36" s="99" t="s">
        <v>99</v>
      </c>
      <c r="C36" s="100"/>
      <c r="D36" s="100"/>
      <c r="E36" s="100"/>
      <c r="F36" s="101"/>
      <c r="G36" s="21">
        <f>$G$9+$G$28+$G$30+$G$35</f>
        <v>23798503.756939352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183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118</v>
      </c>
      <c r="C9" s="94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119" t="s">
        <v>184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135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148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179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197</v>
      </c>
      <c r="C16" s="93"/>
      <c r="D16" s="93"/>
      <c r="E16" s="94"/>
      <c r="F16" s="117" t="s">
        <v>180</v>
      </c>
      <c r="G16" s="117"/>
      <c r="H16" s="2"/>
    </row>
    <row r="17" spans="1:8" x14ac:dyDescent="0.25">
      <c r="A17" s="2"/>
      <c r="B17" s="89" t="s">
        <v>193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181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182</v>
      </c>
      <c r="C19" s="100"/>
      <c r="D19" s="100"/>
      <c r="E19" s="10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121</v>
      </c>
      <c r="C9" s="46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35" t="s">
        <v>192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130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147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121549963.2849548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2714893.6785170194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123</v>
      </c>
      <c r="C11" s="90"/>
      <c r="D11" s="91"/>
      <c r="E11" s="12">
        <f>'Fane 4. Ikke-påvirkelige omk.'!G20</f>
        <v>427361.27125449985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195</v>
      </c>
      <c r="C12" s="49"/>
      <c r="D12" s="50"/>
      <c r="E12" s="12">
        <f>'Fane 5. Individuelt eff.krav'!G10</f>
        <v>-2166903.9280078532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175</v>
      </c>
      <c r="C13" s="102"/>
      <c r="D13" s="103"/>
      <c r="E13" s="12">
        <f>'Fane 3. Korrigeret grundlag'!G22</f>
        <v>1965898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131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132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179</v>
      </c>
      <c r="C16" s="87"/>
      <c r="D16" s="8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133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134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125</v>
      </c>
      <c r="C20" s="90"/>
      <c r="D20" s="91"/>
      <c r="E20" s="12">
        <f>SUM(E9,E11:E18)*(E19/100)</f>
        <v>2131085.5759935253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2414203.1958560492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2232242.2665377874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185</v>
      </c>
      <c r="C23" s="97"/>
      <c r="D23" s="98"/>
      <c r="E23" s="18">
        <f>SUM(E9,E11:E18,E20)-SUM(E21:E22)</f>
        <v>119260958.74180113</v>
      </c>
      <c r="F23" s="19" t="s">
        <v>4</v>
      </c>
      <c r="G23" s="18">
        <f>E23</f>
        <v>119260958.74180113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-3725686.4955908284</v>
      </c>
      <c r="F25" s="19" t="s">
        <v>4</v>
      </c>
      <c r="G25" s="18">
        <f>E25</f>
        <v>-3725686.4955908284</v>
      </c>
      <c r="H25" s="19" t="s">
        <v>4</v>
      </c>
      <c r="I25" s="2"/>
    </row>
    <row r="26" spans="1:9" x14ac:dyDescent="0.25">
      <c r="A26" s="2"/>
      <c r="B26" s="99" t="s">
        <v>100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107</v>
      </c>
      <c r="C27" s="87"/>
      <c r="D27" s="88"/>
      <c r="E27" s="12">
        <f>'Fane 9. Korrektion af PL2016'!G11</f>
        <v>374185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101</v>
      </c>
      <c r="C28" s="87"/>
      <c r="D28" s="88"/>
      <c r="E28" s="12">
        <f>'Fane 9. Korrektion af PL2016'!G17</f>
        <v>2092323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102</v>
      </c>
      <c r="C29" s="87"/>
      <c r="D29" s="88"/>
      <c r="E29" s="12">
        <f>'Fane 9. Korrektion af PL2016'!G23</f>
        <v>86295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103</v>
      </c>
      <c r="C30" s="87"/>
      <c r="D30" s="88"/>
      <c r="E30" s="12">
        <f>'Fane 9. Korrektion af PL2016'!G29</f>
        <v>1321033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104</v>
      </c>
      <c r="C31" s="87"/>
      <c r="D31" s="88"/>
      <c r="E31" s="12">
        <f>'Fane 9. Korrektion af PL2016'!G35</f>
        <v>-1328316.45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6" t="s">
        <v>78</v>
      </c>
      <c r="C32" s="87"/>
      <c r="D32" s="88"/>
      <c r="E32" s="12">
        <f>'Fane 9. Korrektion af PL2016'!G41</f>
        <v>-3300852.115452223</v>
      </c>
      <c r="F32" s="9" t="s">
        <v>4</v>
      </c>
      <c r="G32" s="16"/>
      <c r="H32" s="17"/>
      <c r="I32" s="2"/>
    </row>
    <row r="33" spans="1:9" x14ac:dyDescent="0.25">
      <c r="A33" s="2"/>
      <c r="B33" s="92" t="s">
        <v>105</v>
      </c>
      <c r="C33" s="93"/>
      <c r="D33" s="94"/>
      <c r="E33" s="18">
        <f>SUM(E27:E32)</f>
        <v>-755332.56545222318</v>
      </c>
      <c r="F33" s="19" t="s">
        <v>4</v>
      </c>
      <c r="G33" s="18">
        <f>E33</f>
        <v>-755332.56545222318</v>
      </c>
      <c r="H33" s="19" t="s">
        <v>4</v>
      </c>
      <c r="I33" s="2"/>
    </row>
    <row r="34" spans="1:9" x14ac:dyDescent="0.25">
      <c r="A34" s="2"/>
      <c r="B34" s="99" t="s">
        <v>18</v>
      </c>
      <c r="C34" s="100"/>
      <c r="D34" s="100"/>
      <c r="E34" s="100"/>
      <c r="F34" s="100"/>
      <c r="G34" s="100"/>
      <c r="H34" s="101"/>
      <c r="I34" s="2"/>
    </row>
    <row r="35" spans="1:9" x14ac:dyDescent="0.25">
      <c r="A35" s="2"/>
      <c r="B35" s="92" t="s">
        <v>106</v>
      </c>
      <c r="C35" s="93"/>
      <c r="D35" s="94"/>
      <c r="E35" s="18">
        <f>'Fane 10. Kontrol af PL2016'!G36</f>
        <v>23798503.756939352</v>
      </c>
      <c r="F35" s="19" t="s">
        <v>4</v>
      </c>
      <c r="G35" s="18">
        <f>E35</f>
        <v>23798503.756939352</v>
      </c>
      <c r="H35" s="19" t="s">
        <v>4</v>
      </c>
      <c r="I35" s="2"/>
    </row>
    <row r="36" spans="1:9" x14ac:dyDescent="0.25">
      <c r="A36" s="2"/>
      <c r="B36" s="99" t="s">
        <v>62</v>
      </c>
      <c r="C36" s="100"/>
      <c r="D36" s="100"/>
      <c r="E36" s="100"/>
      <c r="F36" s="101"/>
      <c r="G36" s="21">
        <f>G23+G25+G33+G35</f>
        <v>138578443.43769744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108</v>
      </c>
      <c r="C9" s="87"/>
      <c r="D9" s="88"/>
      <c r="E9" s="8">
        <f>'Fane 2.1. Økonomisk ramme 2018'!G23-'Fane 2.1. Økonomisk ramme 2018'!E13*(1+0.0175)*(1-0.02-'Fane 5. Individuelt eff.krav'!G11/100)</f>
        <v>117340669.57540113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2018'!E16))*(1+'Fane 2.1. Økonomisk ramme 2018'!E19/100)</f>
        <v>3197244.4113925211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175</v>
      </c>
      <c r="C11" s="59"/>
      <c r="D11" s="60"/>
      <c r="E11" s="12">
        <v>1748171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2084054.7100695199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2358393.9819375752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2264972.6230569105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185</v>
      </c>
      <c r="C15" s="97"/>
      <c r="D15" s="98"/>
      <c r="E15" s="18">
        <f>$E$9+$E$12-$E$13-$E$14+E11</f>
        <v>116549528.68047617</v>
      </c>
      <c r="F15" s="19" t="s">
        <v>4</v>
      </c>
      <c r="G15" s="18">
        <f>E15</f>
        <v>116549528.68047617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-3725686.4955908284</v>
      </c>
      <c r="F17" s="19" t="s">
        <v>4</v>
      </c>
      <c r="G17" s="18">
        <f>E17</f>
        <v>-3725686.4955908284</v>
      </c>
      <c r="H17" s="19" t="s">
        <v>4</v>
      </c>
      <c r="I17" s="2"/>
    </row>
    <row r="18" spans="1:9" x14ac:dyDescent="0.25">
      <c r="A18" s="2"/>
      <c r="B18" s="99" t="s">
        <v>109</v>
      </c>
      <c r="C18" s="100"/>
      <c r="D18" s="100"/>
      <c r="E18" s="100"/>
      <c r="F18" s="101"/>
      <c r="G18" s="21">
        <f>G15+G17</f>
        <v>112823842.18488535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112</v>
      </c>
      <c r="C9" s="90"/>
      <c r="D9" s="90"/>
      <c r="E9" s="90"/>
      <c r="F9" s="91"/>
      <c r="G9" s="27">
        <v>34611859.346254542</v>
      </c>
      <c r="H9" s="23" t="s">
        <v>4</v>
      </c>
      <c r="I9" s="2"/>
    </row>
    <row r="10" spans="1:9" x14ac:dyDescent="0.25">
      <c r="A10" s="2"/>
      <c r="B10" s="89" t="s">
        <v>113</v>
      </c>
      <c r="C10" s="90"/>
      <c r="D10" s="90"/>
      <c r="E10" s="90"/>
      <c r="F10" s="91"/>
      <c r="G10" s="27">
        <v>84223210.260183245</v>
      </c>
      <c r="H10" s="23" t="s">
        <v>4</v>
      </c>
      <c r="I10" s="2"/>
    </row>
    <row r="11" spans="1:9" x14ac:dyDescent="0.25">
      <c r="A11" s="2"/>
      <c r="B11" s="89" t="s">
        <v>140</v>
      </c>
      <c r="C11" s="90"/>
      <c r="D11" s="90"/>
      <c r="E11" s="90"/>
      <c r="F11" s="91"/>
      <c r="G11" s="27">
        <v>2714893.6785170194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121549963.2849548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175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176</v>
      </c>
      <c r="C20" s="90"/>
      <c r="D20" s="90"/>
      <c r="E20" s="90"/>
      <c r="F20" s="91"/>
      <c r="G20" s="27">
        <v>1965898</v>
      </c>
      <c r="H20" s="23" t="s">
        <v>4</v>
      </c>
      <c r="I20" s="2"/>
    </row>
    <row r="21" spans="1:9" x14ac:dyDescent="0.25">
      <c r="A21" s="2"/>
      <c r="B21" s="89" t="s">
        <v>177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4" t="s">
        <v>178</v>
      </c>
      <c r="C22" s="105"/>
      <c r="D22" s="105"/>
      <c r="E22" s="105"/>
      <c r="F22" s="106"/>
      <c r="G22" s="21">
        <f>SUM(G20:G21)</f>
        <v>1965898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115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117</v>
      </c>
      <c r="C9" s="93"/>
      <c r="D9" s="9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166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167</v>
      </c>
      <c r="C11" s="109"/>
      <c r="D11" s="109"/>
      <c r="E11" s="56">
        <v>409359.50020000001</v>
      </c>
      <c r="F11" s="23" t="s">
        <v>4</v>
      </c>
      <c r="G11" s="27">
        <v>425235</v>
      </c>
      <c r="H11" s="23" t="s">
        <v>4</v>
      </c>
      <c r="I11" s="2"/>
    </row>
    <row r="12" spans="1:9" x14ac:dyDescent="0.25">
      <c r="A12" s="2"/>
      <c r="B12" s="108" t="s">
        <v>168</v>
      </c>
      <c r="C12" s="109"/>
      <c r="D12" s="109"/>
      <c r="E12" s="56">
        <v>703241.48879999993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169</v>
      </c>
      <c r="C13" s="109"/>
      <c r="D13" s="109"/>
      <c r="E13" s="56">
        <v>32399.4126</v>
      </c>
      <c r="F13" s="23" t="s">
        <v>4</v>
      </c>
      <c r="G13" s="27">
        <v>67175</v>
      </c>
      <c r="H13" s="23" t="s">
        <v>4</v>
      </c>
      <c r="I13" s="2"/>
    </row>
    <row r="14" spans="1:9" x14ac:dyDescent="0.25">
      <c r="A14" s="2"/>
      <c r="B14" s="108" t="s">
        <v>170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171</v>
      </c>
      <c r="C15" s="109"/>
      <c r="D15" s="109"/>
      <c r="E15" s="56">
        <v>1525884.5209999999</v>
      </c>
      <c r="F15" s="23" t="s">
        <v>4</v>
      </c>
      <c r="G15" s="27">
        <v>1277415</v>
      </c>
      <c r="H15" s="23" t="s">
        <v>4</v>
      </c>
      <c r="I15" s="2"/>
    </row>
    <row r="16" spans="1:9" x14ac:dyDescent="0.25">
      <c r="A16" s="2"/>
      <c r="B16" s="108" t="s">
        <v>172</v>
      </c>
      <c r="C16" s="109"/>
      <c r="D16" s="109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8" t="s">
        <v>173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32.25" customHeight="1" x14ac:dyDescent="0.25">
      <c r="A18" s="2"/>
      <c r="B18" s="110" t="s">
        <v>174</v>
      </c>
      <c r="C18" s="110"/>
      <c r="D18" s="110"/>
      <c r="E18" s="56">
        <v>9962</v>
      </c>
      <c r="F18" s="23" t="s">
        <v>4</v>
      </c>
      <c r="G18" s="27">
        <v>1331033</v>
      </c>
      <c r="H18" s="23" t="s">
        <v>4</v>
      </c>
      <c r="I18" s="2"/>
    </row>
    <row r="19" spans="1:9" x14ac:dyDescent="0.25">
      <c r="A19" s="2"/>
      <c r="B19" s="99" t="s">
        <v>136</v>
      </c>
      <c r="C19" s="100"/>
      <c r="D19" s="100"/>
      <c r="E19" s="100"/>
      <c r="F19" s="101"/>
      <c r="G19" s="21">
        <f>SUM(G10:G18)-SUM(E10:E18)</f>
        <v>420011.07739999983</v>
      </c>
      <c r="H19" s="22" t="s">
        <v>4</v>
      </c>
      <c r="I19" s="2"/>
    </row>
    <row r="20" spans="1:9" x14ac:dyDescent="0.25">
      <c r="A20" s="2"/>
      <c r="B20" s="99" t="s">
        <v>137</v>
      </c>
      <c r="C20" s="100"/>
      <c r="D20" s="100"/>
      <c r="E20" s="100"/>
      <c r="F20" s="101"/>
      <c r="G20" s="21">
        <f>G19*(1+'Fane 2.1. Økonomisk ramme 2018'!E19/100)</f>
        <v>427361.27125449985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120800967.60643779</v>
      </c>
      <c r="H9" s="23" t="s">
        <v>4</v>
      </c>
      <c r="I9" s="2"/>
    </row>
    <row r="10" spans="1:9" x14ac:dyDescent="0.25">
      <c r="A10" s="2"/>
      <c r="B10" s="51" t="s">
        <v>195</v>
      </c>
      <c r="C10" s="49"/>
      <c r="D10" s="49"/>
      <c r="E10" s="49"/>
      <c r="F10" s="50"/>
      <c r="G10" s="12">
        <v>-2166903.9280078532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2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2414203.1958560492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2018'!E14,'Fane 2.1. Økonomisk ramme 2018'!E17))</f>
        <v>36577757.346254542</v>
      </c>
      <c r="H9" s="23" t="s">
        <v>4</v>
      </c>
      <c r="I9" s="2"/>
    </row>
    <row r="10" spans="1:9" x14ac:dyDescent="0.25">
      <c r="A10" s="2"/>
      <c r="B10" s="52" t="s">
        <v>194</v>
      </c>
      <c r="C10" s="53"/>
      <c r="D10" s="53"/>
      <c r="E10" s="53"/>
      <c r="F10" s="54"/>
      <c r="G10" s="12">
        <v>-733756.44000000006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729425.41844228003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84223210.260183245</v>
      </c>
      <c r="H13" s="23" t="s">
        <v>4</v>
      </c>
      <c r="I13" s="2"/>
    </row>
    <row r="14" spans="1:9" x14ac:dyDescent="0.25">
      <c r="A14" s="2"/>
      <c r="B14" s="51" t="s">
        <v>196</v>
      </c>
      <c r="C14" s="49"/>
      <c r="D14" s="49"/>
      <c r="E14" s="49"/>
      <c r="F14" s="50"/>
      <c r="G14" s="12">
        <v>-778584.53825442528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1502816.8480955076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2232242.2665377874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-34903595</v>
      </c>
      <c r="H9" s="23" t="s">
        <v>4</v>
      </c>
      <c r="I9" s="2"/>
    </row>
    <row r="10" spans="1:9" x14ac:dyDescent="0.25">
      <c r="A10" s="2"/>
      <c r="B10" s="89" t="s">
        <v>122</v>
      </c>
      <c r="C10" s="90"/>
      <c r="D10" s="90"/>
      <c r="E10" s="90"/>
      <c r="F10" s="91"/>
      <c r="G10" s="27">
        <v>-23726535.513227515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-11177059.486772485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127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-3725686.4955908284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45865</v>
      </c>
      <c r="F10" s="12">
        <f>E10/D10</f>
        <v>611.5333333333333</v>
      </c>
      <c r="G10" s="23" t="s">
        <v>4</v>
      </c>
      <c r="H10" s="2"/>
    </row>
    <row r="11" spans="1:8" ht="26.25" x14ac:dyDescent="0.25">
      <c r="A11" s="2"/>
      <c r="B11" s="47" t="s">
        <v>150</v>
      </c>
      <c r="C11" s="41">
        <v>2016</v>
      </c>
      <c r="D11" s="28">
        <v>50</v>
      </c>
      <c r="E11" s="27">
        <v>28330</v>
      </c>
      <c r="F11" s="12">
        <f t="shared" ref="F11:F29" si="0">E11/D11</f>
        <v>566.6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20</v>
      </c>
      <c r="E12" s="27">
        <v>533018</v>
      </c>
      <c r="F12" s="12">
        <f t="shared" si="0"/>
        <v>26650.9</v>
      </c>
      <c r="G12" s="23" t="s">
        <v>4</v>
      </c>
      <c r="H12" s="2"/>
    </row>
    <row r="13" spans="1:8" ht="26.25" x14ac:dyDescent="0.25">
      <c r="A13" s="2"/>
      <c r="B13" s="47" t="s">
        <v>152</v>
      </c>
      <c r="C13" s="41">
        <v>2016</v>
      </c>
      <c r="D13" s="28">
        <v>20</v>
      </c>
      <c r="E13" s="27">
        <v>1126214</v>
      </c>
      <c r="F13" s="12">
        <f t="shared" si="0"/>
        <v>56310.7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20</v>
      </c>
      <c r="E14" s="27">
        <v>1305068</v>
      </c>
      <c r="F14" s="12">
        <f t="shared" si="0"/>
        <v>65253.4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10</v>
      </c>
      <c r="E15" s="27">
        <v>1735232</v>
      </c>
      <c r="F15" s="12">
        <f t="shared" si="0"/>
        <v>173523.20000000001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20</v>
      </c>
      <c r="E16" s="27">
        <v>1611946</v>
      </c>
      <c r="F16" s="12">
        <f t="shared" si="0"/>
        <v>80597.3</v>
      </c>
      <c r="G16" s="23" t="s">
        <v>4</v>
      </c>
      <c r="H16" s="2"/>
    </row>
    <row r="17" spans="1:8" x14ac:dyDescent="0.25">
      <c r="A17" s="2"/>
      <c r="B17" s="47" t="s">
        <v>156</v>
      </c>
      <c r="C17" s="41">
        <v>2016</v>
      </c>
      <c r="D17" s="28">
        <v>10</v>
      </c>
      <c r="E17" s="27">
        <v>348323</v>
      </c>
      <c r="F17" s="12">
        <f t="shared" si="0"/>
        <v>34832.300000000003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75</v>
      </c>
      <c r="E18" s="27">
        <v>17136422</v>
      </c>
      <c r="F18" s="12">
        <f t="shared" si="0"/>
        <v>228485.62666666668</v>
      </c>
      <c r="G18" s="23" t="s">
        <v>4</v>
      </c>
      <c r="H18" s="2"/>
    </row>
    <row r="19" spans="1:8" x14ac:dyDescent="0.25">
      <c r="A19" s="2"/>
      <c r="B19" s="47" t="s">
        <v>149</v>
      </c>
      <c r="C19" s="41">
        <v>2016</v>
      </c>
      <c r="D19" s="28">
        <v>75</v>
      </c>
      <c r="E19" s="27">
        <v>1760900</v>
      </c>
      <c r="F19" s="12">
        <f t="shared" si="0"/>
        <v>23478.666666666668</v>
      </c>
      <c r="G19" s="23" t="s">
        <v>4</v>
      </c>
      <c r="H19" s="2"/>
    </row>
    <row r="20" spans="1:8" x14ac:dyDescent="0.25">
      <c r="A20" s="2"/>
      <c r="B20" s="47" t="s">
        <v>158</v>
      </c>
      <c r="C20" s="41">
        <v>2016</v>
      </c>
      <c r="D20" s="28">
        <v>75</v>
      </c>
      <c r="E20" s="27">
        <v>492685</v>
      </c>
      <c r="F20" s="12">
        <f t="shared" si="0"/>
        <v>6569.1333333333332</v>
      </c>
      <c r="G20" s="23" t="s">
        <v>4</v>
      </c>
      <c r="H20" s="2"/>
    </row>
    <row r="21" spans="1:8" x14ac:dyDescent="0.25">
      <c r="A21" s="2"/>
      <c r="B21" s="47" t="s">
        <v>159</v>
      </c>
      <c r="C21" s="41">
        <v>2016</v>
      </c>
      <c r="D21" s="28">
        <v>75</v>
      </c>
      <c r="E21" s="27">
        <v>4075755</v>
      </c>
      <c r="F21" s="12">
        <f t="shared" si="0"/>
        <v>54343.4</v>
      </c>
      <c r="G21" s="23" t="s">
        <v>4</v>
      </c>
      <c r="H21" s="2"/>
    </row>
    <row r="22" spans="1:8" x14ac:dyDescent="0.25">
      <c r="A22" s="2"/>
      <c r="B22" s="47" t="s">
        <v>160</v>
      </c>
      <c r="C22" s="41">
        <v>2016</v>
      </c>
      <c r="D22" s="28">
        <v>50</v>
      </c>
      <c r="E22" s="27">
        <v>3924958</v>
      </c>
      <c r="F22" s="12">
        <f t="shared" si="0"/>
        <v>78499.16</v>
      </c>
      <c r="G22" s="23" t="s">
        <v>4</v>
      </c>
      <c r="H22" s="2"/>
    </row>
    <row r="23" spans="1:8" ht="26.25" x14ac:dyDescent="0.25">
      <c r="A23" s="2"/>
      <c r="B23" s="47" t="s">
        <v>161</v>
      </c>
      <c r="C23" s="41">
        <v>2016</v>
      </c>
      <c r="D23" s="28">
        <v>50</v>
      </c>
      <c r="E23" s="27">
        <v>10389878</v>
      </c>
      <c r="F23" s="12">
        <f t="shared" si="0"/>
        <v>207797.56</v>
      </c>
      <c r="G23" s="23" t="s">
        <v>4</v>
      </c>
      <c r="H23" s="2"/>
    </row>
    <row r="24" spans="1:8" ht="26.25" x14ac:dyDescent="0.25">
      <c r="A24" s="2"/>
      <c r="B24" s="47" t="s">
        <v>150</v>
      </c>
      <c r="C24" s="41">
        <v>2016</v>
      </c>
      <c r="D24" s="28">
        <v>50</v>
      </c>
      <c r="E24" s="27">
        <v>2565423</v>
      </c>
      <c r="F24" s="12">
        <f t="shared" si="0"/>
        <v>51308.46</v>
      </c>
      <c r="G24" s="23" t="s">
        <v>4</v>
      </c>
      <c r="H24" s="2"/>
    </row>
    <row r="25" spans="1:8" ht="26.25" x14ac:dyDescent="0.25">
      <c r="A25" s="2"/>
      <c r="B25" s="47" t="s">
        <v>162</v>
      </c>
      <c r="C25" s="41">
        <v>2016</v>
      </c>
      <c r="D25" s="28">
        <v>50</v>
      </c>
      <c r="E25" s="27">
        <v>100000</v>
      </c>
      <c r="F25" s="12">
        <f t="shared" si="0"/>
        <v>2000</v>
      </c>
      <c r="G25" s="23" t="s">
        <v>4</v>
      </c>
      <c r="H25" s="2"/>
    </row>
    <row r="26" spans="1:8" x14ac:dyDescent="0.25">
      <c r="A26" s="2"/>
      <c r="B26" s="47" t="s">
        <v>151</v>
      </c>
      <c r="C26" s="41">
        <v>2016</v>
      </c>
      <c r="D26" s="28">
        <v>20</v>
      </c>
      <c r="E26" s="27">
        <v>1133243</v>
      </c>
      <c r="F26" s="12">
        <f t="shared" si="0"/>
        <v>56662.15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10</v>
      </c>
      <c r="E27" s="27">
        <v>222743</v>
      </c>
      <c r="F27" s="12">
        <f t="shared" si="0"/>
        <v>22274.3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50</v>
      </c>
      <c r="E28" s="27">
        <v>231302</v>
      </c>
      <c r="F28" s="12">
        <f t="shared" si="0"/>
        <v>4626.04</v>
      </c>
      <c r="G28" s="23" t="s">
        <v>4</v>
      </c>
      <c r="H28" s="2"/>
    </row>
    <row r="29" spans="1:8" ht="26.25" x14ac:dyDescent="0.25">
      <c r="A29" s="2"/>
      <c r="B29" s="47" t="s">
        <v>165</v>
      </c>
      <c r="C29" s="41">
        <v>2016</v>
      </c>
      <c r="D29" s="28">
        <v>75</v>
      </c>
      <c r="E29" s="27">
        <v>483234</v>
      </c>
      <c r="F29" s="12">
        <f t="shared" si="0"/>
        <v>6443.12</v>
      </c>
      <c r="G29" s="23" t="s">
        <v>4</v>
      </c>
      <c r="H29" s="2"/>
    </row>
    <row r="30" spans="1:8" x14ac:dyDescent="0.25">
      <c r="A30" s="2"/>
      <c r="B30" s="99" t="s">
        <v>76</v>
      </c>
      <c r="C30" s="100"/>
      <c r="D30" s="100"/>
      <c r="E30" s="101"/>
      <c r="F30" s="21">
        <f>SUM(F10:F29)</f>
        <v>1180833.55</v>
      </c>
      <c r="G30" s="22" t="s">
        <v>4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</sheetData>
  <sheetProtection password="DFE9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2017-10-13T16:16:50Z</dcterms:modified>
</cp:coreProperties>
</file>