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E13" i="22"/>
  <c r="E10" i="22"/>
  <c r="E12" i="22" s="1"/>
  <c r="E9" i="22"/>
  <c r="E11" i="22" s="1"/>
  <c r="E14" i="22" s="1"/>
  <c r="G14" i="22" s="1"/>
  <c r="G16" i="22"/>
  <c r="G17" i="22" l="1"/>
  <c r="E9" i="23"/>
  <c r="E13" i="15"/>
  <c r="E14" i="23" l="1"/>
  <c r="G14" i="23" s="1"/>
  <c r="G15" i="23" s="1"/>
  <c r="G13" i="9"/>
  <c r="G9" i="9"/>
  <c r="G9" i="8"/>
  <c r="G13" i="10" l="1"/>
  <c r="G16" i="9" l="1"/>
  <c r="G12" i="9"/>
  <c r="G12" i="8"/>
  <c r="E12" i="2"/>
  <c r="G11" i="10" l="1"/>
  <c r="F18" i="20"/>
  <c r="F19" i="20" s="1"/>
  <c r="E15" i="2" s="1"/>
  <c r="F25" i="11" l="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<sst xmlns="http://schemas.openxmlformats.org/spreadsheetml/2006/main" count="403" uniqueCount="195">
  <si>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</si>
  <si>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</si>
  <si>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</si>
  <si>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</si>
  <si>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</si>
  <si>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</si>
  <si>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</si>
  <si>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</si>
  <si>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</si>
  <si>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</si>
  <si>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</si>
  <si>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</si>
  <si>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</si>
  <si>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</si>
  <si>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</si>
  <si>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</si>
  <si>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</si>
  <si>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</si>
  <si>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</si>
  <si>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</si>
  <si>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</si>
  <si>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</si>
  <si>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</si>
  <si>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</si>
  <si>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</si>
  <si>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</si>
  <si>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</si>
  <si>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</si>
  <si>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</si>
  <si>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</si>
  <si>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</si>
  <si>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</si>
  <si>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</si>
  <si>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</si>
  <si>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</si>
  <si>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</si>
  <si>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</si>
  <si>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</si>
  <si>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</si>
  <si>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</si>
  <si>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</si>
  <si>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</si>
  <si>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</si>
  <si>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</si>
  <si>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</si>
  <si>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</si>
  <si>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</si>
  <si>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</si>
  <si>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</si>
  <si>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</si>
  <si>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</si>
  <si>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</si>
  <si>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</si>
  <si>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</si>
  <si>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</si>
  <si>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</si>
  <si>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</si>
  <si>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</si>
  <si>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</si>
  <si>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</si>
  <si>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</si>
  <si>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</si>
  <si>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</si>
  <si>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</si>
  <si>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</si>
  <si>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</si>
  <si>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</si>
  <si>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</si>
  <si>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</si>
  <si>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</si>
  <si>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</si>
  <si>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</si>
  <si>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</si>
  <si>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</si>
  <si>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</si>
  <si>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</si>
  <si>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</si>
  <si>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</si>
  <si>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</si>
  <si>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</si>
  <si>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</si>
  <si>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</si>
  <si>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</si>
  <si>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</si>
  <si>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</si>
  <si>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</si>
  <si>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</si>
  <si>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</si>
  <si>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</si>
  <si>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</si>
  <si>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</si>
  <si>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</si>
  <si>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</si>
  <si>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</si>
  <si>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</si>
  <si>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</si>
  <si>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</si>
  <si>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</si>
  <si>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</si>
  <si>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</si>
  <si>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</si>
  <si>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</si>
  <si>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</si>
  <si>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</si>
  <si>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</si>
  <si>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</si>
  <si>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</si>
  <si>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</si>
  <si>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</si>
  <si>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</si>
  <si>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</si>
  <si>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</si>
  <si>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</si>
  <si>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</si>
  <si>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</si>
  <si>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</si>
  <si>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</si>
  <si>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</si>
  <si>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</si>
  <si>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</si>
  <si>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</si>
  <si>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</si>
  <si>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</si>
  <si>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</si>
  <si>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</si>
  <si>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</si>
  <si>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</si>
  <si>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</si>
  <si>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</si>
  <si>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</si>
  <si>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</si>
  <si>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</si>
  <si>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</si>
  <si>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</si>
  <si>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</si>
  <si>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</si>
  <si>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</si>
  <si>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</si>
  <si>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</si>
  <si>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</si>
  <si>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</si>
  <si>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</si>
  <si>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</si>
  <si>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</si>
  <si>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</si>
  <si>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</si>
  <si>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</si>
  <si>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Konstruktioner</t>
  </si>
  <si>
    <t>Efterklaringstanke, Konstruktioner</t>
  </si>
  <si>
    <t>Forafvanding, slam, Konstruktion</t>
  </si>
  <si>
    <t>Forklaring, Mek/EL</t>
  </si>
  <si>
    <t>Gasdisponering, Konstruktioner</t>
  </si>
  <si>
    <t>Gasdisponering, Mek/EL</t>
  </si>
  <si>
    <t>Indløb med riste, Konstruktioner</t>
  </si>
  <si>
    <t>Køretøjer, små lastvogne (&lt; 3.500 kg.)</t>
  </si>
  <si>
    <t>Køretøjer, store lastvogne (&gt; 3.500 kg.)</t>
  </si>
  <si>
    <t>Ledningsnet ≤ Ø 200 mm</t>
  </si>
  <si>
    <t>Pumpestationer i brønde (&lt; 6,25 m2), Konstruktioner</t>
  </si>
  <si>
    <t>Pumpestationer m. overbygning (&lt; 20 m2), Konstruktioner</t>
  </si>
  <si>
    <t>Rådnetanke, slam, Konstruktioner</t>
  </si>
  <si>
    <t>Slutafvanding, slam - højteknologisk (centrifuger), Konstruktioner</t>
  </si>
  <si>
    <t>Pumpeinstallation Miljøklasse A (100-300 l/s) - Mek/EL</t>
  </si>
  <si>
    <t>Forklaring,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</si>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</sst>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-61782239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-42564165.865079366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-19218073.134920634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3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-6406024.3783068778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6416140.5300000003</v>
      </c>
      <c r="F10" s="12">
        <f>E10/D10</f>
        <v>1283228.1060000001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60</v>
      </c>
      <c r="E11" s="27">
        <v>1709363.18</v>
      </c>
      <c r="F11" s="12">
        <f t="shared" ref="F11:F26" si="0">E11/D11</f>
        <v>28489.386333333332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60</v>
      </c>
      <c r="E12" s="27">
        <v>37287</v>
      </c>
      <c r="F12" s="12">
        <f t="shared" si="0"/>
        <v>621.45000000000005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60</v>
      </c>
      <c r="E13" s="27">
        <v>295196.40000000002</v>
      </c>
      <c r="F13" s="12">
        <f t="shared" si="0"/>
        <v>4919.9400000000005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123621.13</v>
      </c>
      <c r="F14" s="12">
        <f t="shared" si="0"/>
        <v>6181.0565000000006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60</v>
      </c>
      <c r="E15" s="27">
        <v>36877</v>
      </c>
      <c r="F15" s="12">
        <f t="shared" si="0"/>
        <v>614.61666666666667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86250</v>
      </c>
      <c r="F16" s="12">
        <f t="shared" si="0"/>
        <v>4312.5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60</v>
      </c>
      <c r="E17" s="27">
        <v>790373.94</v>
      </c>
      <c r="F17" s="12">
        <f t="shared" si="0"/>
        <v>13172.898999999999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5</v>
      </c>
      <c r="E18" s="27">
        <v>1238935</v>
      </c>
      <c r="F18" s="12">
        <f t="shared" si="0"/>
        <v>247787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</v>
      </c>
      <c r="E19" s="27">
        <v>1685000</v>
      </c>
      <c r="F19" s="12">
        <f t="shared" si="0"/>
        <v>337000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45852135.340000004</v>
      </c>
      <c r="F20" s="12">
        <f t="shared" si="0"/>
        <v>611361.8045333334</v>
      </c>
      <c r="G20" s="23" t="s">
        <v>4</v>
      </c>
      <c r="H20" s="2"/>
    </row>
    <row r="21" spans="1:8" ht="26.25" x14ac:dyDescent="0.25">
      <c r="A21" s="2"/>
      <c r="B21" s="47" t="s">
        <v>157</v>
      </c>
      <c r="C21" s="41">
        <v>2016</v>
      </c>
      <c r="D21" s="28">
        <v>50</v>
      </c>
      <c r="E21" s="27">
        <v>89420.83</v>
      </c>
      <c r="F21" s="12">
        <f t="shared" si="0"/>
        <v>1788.4166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50</v>
      </c>
      <c r="E22" s="27">
        <v>656899.68999999994</v>
      </c>
      <c r="F22" s="12">
        <f t="shared" si="0"/>
        <v>13137.993799999998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60</v>
      </c>
      <c r="E23" s="27">
        <v>208479.09</v>
      </c>
      <c r="F23" s="12">
        <f t="shared" si="0"/>
        <v>3474.6514999999999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60</v>
      </c>
      <c r="E24" s="27">
        <v>6819828.5999999996</v>
      </c>
      <c r="F24" s="12">
        <f t="shared" si="0"/>
        <v>113663.81</v>
      </c>
      <c r="G24" s="23" t="s">
        <v>4</v>
      </c>
      <c r="H24" s="2"/>
    </row>
    <row r="25" spans="1:8" ht="26.25" x14ac:dyDescent="0.25">
      <c r="A25" s="2"/>
      <c r="B25" s="47" t="s">
        <v>161</v>
      </c>
      <c r="C25" s="41">
        <v>2016</v>
      </c>
      <c r="D25" s="28">
        <v>20</v>
      </c>
      <c r="E25" s="27">
        <v>989061.94</v>
      </c>
      <c r="F25" s="12">
        <f t="shared" si="0"/>
        <v>49453.096999999994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60</v>
      </c>
      <c r="E26" s="27">
        <v>151389.35</v>
      </c>
      <c r="F26" s="12">
        <f t="shared" si="0"/>
        <v>2523.1558333333332</v>
      </c>
      <c r="G26" s="23" t="s">
        <v>4</v>
      </c>
      <c r="H26" s="2"/>
    </row>
    <row r="27" spans="1:8" x14ac:dyDescent="0.25">
      <c r="A27" s="2"/>
      <c r="B27" s="94" t="s">
        <v>76</v>
      </c>
      <c r="C27" s="95"/>
      <c r="D27" s="95"/>
      <c r="E27" s="96"/>
      <c r="F27" s="21">
        <f>SUM(F10:F26)</f>
        <v>2721729.883766667</v>
      </c>
      <c r="G27" s="22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178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2952727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3732000</v>
      </c>
      <c r="H10" s="23" t="s">
        <v>4</v>
      </c>
      <c r="I10" s="2"/>
    </row>
    <row r="11" spans="1:9" x14ac:dyDescent="0.25">
      <c r="A11" s="2"/>
      <c r="B11" s="94" t="s">
        <v>179</v>
      </c>
      <c r="C11" s="95"/>
      <c r="D11" s="95"/>
      <c r="E11" s="95"/>
      <c r="F11" s="96"/>
      <c r="G11" s="21">
        <f>G9-G10</f>
        <v>-779273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180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992062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1369891</v>
      </c>
      <c r="H16" s="23" t="s">
        <v>4</v>
      </c>
      <c r="I16" s="2"/>
    </row>
    <row r="17" spans="1:9" x14ac:dyDescent="0.25">
      <c r="A17" s="2"/>
      <c r="B17" s="94" t="s">
        <v>180</v>
      </c>
      <c r="C17" s="95"/>
      <c r="D17" s="95"/>
      <c r="E17" s="95"/>
      <c r="F17" s="96"/>
      <c r="G17" s="21">
        <f>G15-G16</f>
        <v>-377829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181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0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0</v>
      </c>
      <c r="H22" s="23" t="s">
        <v>4</v>
      </c>
      <c r="I22" s="2"/>
    </row>
    <row r="23" spans="1:9" x14ac:dyDescent="0.25">
      <c r="A23" s="2"/>
      <c r="B23" s="94" t="s">
        <v>181</v>
      </c>
      <c r="C23" s="95"/>
      <c r="D23" s="95"/>
      <c r="E23" s="95"/>
      <c r="F23" s="96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182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182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2016'!F27</f>
        <v>2721729.883766667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2328790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392939.88376666699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153532541.19589972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72469246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11159875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6751060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4242446.2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94622627.200000003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13429653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13429653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-14658346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-67186259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-26807354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-108651959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-599678.79999999702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143221534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10421317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153642851</v>
      </c>
      <c r="F35" s="38" t="s">
        <v>4</v>
      </c>
      <c r="G35" s="18">
        <f>-E35</f>
        <v>-153642851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-110309.80410027504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175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118" t="s">
        <v>176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171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188</v>
      </c>
      <c r="C16" s="89"/>
      <c r="D16" s="89"/>
      <c r="E16" s="90"/>
      <c r="F16" s="116" t="s">
        <v>172</v>
      </c>
      <c r="G16" s="116"/>
      <c r="H16" s="2"/>
    </row>
    <row r="17" spans="1:8" x14ac:dyDescent="0.25">
      <c r="A17" s="2"/>
      <c r="B17" s="98" t="s">
        <v>184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173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174</v>
      </c>
      <c r="C19" s="95"/>
      <c r="D19" s="95"/>
      <c r="E19" s="96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35" t="s">
        <v>183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155274153.47474989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4034439.4711813396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omk.'!G19</f>
        <v>-1155229.4554734996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186</v>
      </c>
      <c r="C12" s="49"/>
      <c r="D12" s="50"/>
      <c r="E12" s="12">
        <f>'Fane 5. Individuelt eff.krav'!G10</f>
        <v>-2511534.5168004623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171</v>
      </c>
      <c r="C15" s="92"/>
      <c r="D15" s="9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2653129.316293329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2810259.3397484822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177</v>
      </c>
      <c r="C22" s="100"/>
      <c r="D22" s="101"/>
      <c r="E22" s="18">
        <f>SUM(E9,E11:E17,E19)-SUM(E20:E21)</f>
        <v>151450259.47902077</v>
      </c>
      <c r="F22" s="19" t="s">
        <v>4</v>
      </c>
      <c r="G22" s="18">
        <f>E22</f>
        <v>151450259.47902077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-6406024.3783068778</v>
      </c>
      <c r="F24" s="19" t="s">
        <v>4</v>
      </c>
      <c r="G24" s="18">
        <f>E24</f>
        <v>-6406024.3783068778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-779273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-377829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392939.88376666699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-764162.11623333301</v>
      </c>
      <c r="F31" s="19" t="s">
        <v>4</v>
      </c>
      <c r="G31" s="18">
        <f>E31</f>
        <v>-764162.11623333301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-110309.80410027504</v>
      </c>
      <c r="F33" s="19" t="s">
        <v>4</v>
      </c>
      <c r="G33" s="18">
        <f>E33</f>
        <v>-110309.80410027504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144169763.18038031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</f>
        <v>151450259.47902077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2929596.1909827278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2650379.5408828636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2806352.2947730785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177</v>
      </c>
      <c r="C14" s="100"/>
      <c r="D14" s="101"/>
      <c r="E14" s="18">
        <f>$E$9+$E$11-$E$12-$E$13</f>
        <v>151294286.72513056</v>
      </c>
      <c r="F14" s="19" t="s">
        <v>4</v>
      </c>
      <c r="G14" s="18">
        <f>E14</f>
        <v>151294286.72513056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-6406024.3783068778</v>
      </c>
      <c r="F16" s="19" t="s">
        <v>4</v>
      </c>
      <c r="G16" s="18">
        <f>E16</f>
        <v>-6406024.3783068778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144888262.34682369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189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190</v>
      </c>
      <c r="C9" s="92"/>
      <c r="D9" s="93"/>
      <c r="E9" s="8">
        <f>'Fane 2.2. Økonomisk ramme 2019'!G14</f>
        <v>151294286.72513056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2980864.1243249252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2647650.017689785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2802454.2937823907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177</v>
      </c>
      <c r="C14" s="100"/>
      <c r="D14" s="101"/>
      <c r="E14" s="18">
        <f>$E$9+$E$11-$E$12-$E$13</f>
        <v>151139482.44903797</v>
      </c>
      <c r="F14" s="19" t="s">
        <v>4</v>
      </c>
      <c r="G14" s="18">
        <f>E14</f>
        <v>151139482.44903797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-6406024.3783068778</v>
      </c>
      <c r="F16" s="19" t="s">
        <v>4</v>
      </c>
      <c r="G16" s="18">
        <f>E16</f>
        <v>-6406024.3783068778</v>
      </c>
      <c r="H16" s="19" t="s">
        <v>4</v>
      </c>
      <c r="I16" s="2"/>
    </row>
    <row r="17" spans="1:9" x14ac:dyDescent="0.25">
      <c r="A17" s="2"/>
      <c r="B17" s="94" t="s">
        <v>191</v>
      </c>
      <c r="C17" s="95"/>
      <c r="D17" s="95"/>
      <c r="E17" s="95"/>
      <c r="F17" s="96"/>
      <c r="G17" s="21">
        <f>G14+G16</f>
        <v>144733458.0707311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192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193</v>
      </c>
      <c r="C9" s="92"/>
      <c r="D9" s="93"/>
      <c r="E9" s="8">
        <f>'Fane 2.3. Økonomisk ramme 2020'!G14</f>
        <v>151139482.44903797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3033029.2465006118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2644940.9428581642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2798565.3120669955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177</v>
      </c>
      <c r="C14" s="100"/>
      <c r="D14" s="101"/>
      <c r="E14" s="18">
        <f>$E$9+$E$11-$E$12-$E$13</f>
        <v>150985858.07982913</v>
      </c>
      <c r="F14" s="19" t="s">
        <v>4</v>
      </c>
      <c r="G14" s="18">
        <f>E14</f>
        <v>150985858.07982913</v>
      </c>
      <c r="H14" s="19" t="s">
        <v>4</v>
      </c>
      <c r="I14" s="2"/>
    </row>
    <row r="15" spans="1:9" x14ac:dyDescent="0.25">
      <c r="A15" s="2"/>
      <c r="B15" s="94" t="s">
        <v>194</v>
      </c>
      <c r="C15" s="95"/>
      <c r="D15" s="95"/>
      <c r="E15" s="95"/>
      <c r="F15" s="96"/>
      <c r="G15" s="21">
        <f>G14</f>
        <v>150985858.07982913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53019715.891611107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98219998.111957461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4034439.4711813396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155274153.47474989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163</v>
      </c>
      <c r="C10" s="109"/>
      <c r="D10" s="109"/>
      <c r="E10" s="56">
        <v>986124.43319999997</v>
      </c>
      <c r="F10" s="23" t="s">
        <v>4</v>
      </c>
      <c r="G10" s="27">
        <v>275608</v>
      </c>
      <c r="H10" s="23" t="s">
        <v>4</v>
      </c>
      <c r="I10" s="2"/>
    </row>
    <row r="11" spans="1:9" x14ac:dyDescent="0.25">
      <c r="A11" s="2"/>
      <c r="B11" s="108" t="s">
        <v>164</v>
      </c>
      <c r="C11" s="109"/>
      <c r="D11" s="109"/>
      <c r="E11" s="56">
        <v>451533.62719999999</v>
      </c>
      <c r="F11" s="23" t="s">
        <v>4</v>
      </c>
      <c r="G11" s="27">
        <v>435202</v>
      </c>
      <c r="H11" s="23" t="s">
        <v>4</v>
      </c>
      <c r="I11" s="2"/>
    </row>
    <row r="12" spans="1:9" x14ac:dyDescent="0.25">
      <c r="A12" s="2"/>
      <c r="B12" s="108" t="s">
        <v>165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166</v>
      </c>
      <c r="C13" s="109"/>
      <c r="D13" s="109"/>
      <c r="E13" s="56">
        <v>16199.208199999999</v>
      </c>
      <c r="F13" s="23" t="s">
        <v>4</v>
      </c>
      <c r="G13" s="27">
        <v>78860</v>
      </c>
      <c r="H13" s="23" t="s">
        <v>4</v>
      </c>
      <c r="I13" s="2"/>
    </row>
    <row r="14" spans="1:9" x14ac:dyDescent="0.25">
      <c r="A14" s="2"/>
      <c r="B14" s="108" t="s">
        <v>167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168</v>
      </c>
      <c r="C15" s="109"/>
      <c r="D15" s="109"/>
      <c r="E15" s="56">
        <v>2401779.4241999998</v>
      </c>
      <c r="F15" s="23" t="s">
        <v>4</v>
      </c>
      <c r="G15" s="27">
        <v>1929057</v>
      </c>
      <c r="H15" s="23" t="s">
        <v>4</v>
      </c>
      <c r="I15" s="2"/>
    </row>
    <row r="16" spans="1:9" x14ac:dyDescent="0.25">
      <c r="A16" s="2"/>
      <c r="B16" s="108" t="s">
        <v>169</v>
      </c>
      <c r="C16" s="109"/>
      <c r="D16" s="109"/>
      <c r="E16" s="56">
        <v>128207.95139999999</v>
      </c>
      <c r="F16" s="23" t="s">
        <v>4</v>
      </c>
      <c r="G16" s="27">
        <v>129757</v>
      </c>
      <c r="H16" s="23" t="s">
        <v>4</v>
      </c>
      <c r="I16" s="2"/>
    </row>
    <row r="17" spans="1:9" x14ac:dyDescent="0.25">
      <c r="A17" s="2"/>
      <c r="B17" s="108" t="s">
        <v>170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4" t="s">
        <v>134</v>
      </c>
      <c r="C18" s="95"/>
      <c r="D18" s="95"/>
      <c r="E18" s="95"/>
      <c r="F18" s="96"/>
      <c r="G18" s="21">
        <f>SUM(G10:G17)-SUM(E10:E17)</f>
        <v>-1135360.6441999995</v>
      </c>
      <c r="H18" s="22" t="s">
        <v>4</v>
      </c>
      <c r="I18" s="2"/>
    </row>
    <row r="19" spans="1:9" x14ac:dyDescent="0.25">
      <c r="A19" s="2"/>
      <c r="B19" s="94" t="s">
        <v>135</v>
      </c>
      <c r="C19" s="95"/>
      <c r="D19" s="95"/>
      <c r="E19" s="95"/>
      <c r="F19" s="96"/>
      <c r="G19" s="21">
        <f>G18*(1+'Fane 2.1. Økonomisk ramme 2018'!E18/100)</f>
        <v>-1155229.4554734996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151239714.00356856</v>
      </c>
      <c r="H9" s="23" t="s">
        <v>4</v>
      </c>
      <c r="I9" s="2"/>
    </row>
    <row r="10" spans="1:9" x14ac:dyDescent="0.25">
      <c r="A10" s="2"/>
      <c r="B10" s="48" t="s">
        <v>186</v>
      </c>
      <c r="C10" s="49"/>
      <c r="D10" s="49"/>
      <c r="E10" s="49"/>
      <c r="F10" s="50"/>
      <c r="G10" s="12">
        <v>-2511534.5168004623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2018'!E16))</f>
        <v>53019715.891611107</v>
      </c>
      <c r="H9" s="23" t="s">
        <v>4</v>
      </c>
      <c r="I9" s="2"/>
    </row>
    <row r="10" spans="1:9" x14ac:dyDescent="0.25">
      <c r="A10" s="2"/>
      <c r="B10" s="52" t="s">
        <v>185</v>
      </c>
      <c r="C10" s="53"/>
      <c r="D10" s="53"/>
      <c r="E10" s="53"/>
      <c r="F10" s="54"/>
      <c r="G10" s="12">
        <v>-1060394.32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1057372.1939822861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98219998.111957461</v>
      </c>
      <c r="H13" s="23" t="s">
        <v>4</v>
      </c>
      <c r="I13" s="2"/>
    </row>
    <row r="14" spans="1:9" x14ac:dyDescent="0.25">
      <c r="A14" s="2"/>
      <c r="B14" s="48" t="s">
        <v>187</v>
      </c>
      <c r="C14" s="49"/>
      <c r="D14" s="49"/>
      <c r="E14" s="49"/>
      <c r="F14" s="50"/>
      <c r="G14" s="12">
        <v>-890099.26459999999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1752887.1457661963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2810259.3397484822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2017-10-13T15:46:09Z</dcterms:modified>
</cp:coreProperties>
</file>