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F3" i="17" l="1"/>
  <c r="G3" i="17"/>
  <c r="E4" i="16" l="1"/>
  <c r="F4" i="16"/>
  <c r="G4" i="16"/>
  <c r="J3" i="16" s="1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G5" i="16"/>
  <c r="J3" i="24"/>
  <c r="G6" i="16"/>
  <c r="E6" i="16"/>
  <c r="F5" i="16"/>
  <c r="I3" i="16" s="1"/>
  <c r="F6" i="16"/>
  <c r="H3" i="16" l="1"/>
  <c r="M3" i="24"/>
  <c r="B9" i="12" s="1"/>
  <c r="B10" i="12" s="1"/>
  <c r="H3" i="17"/>
  <c r="B4" i="12" s="1"/>
  <c r="I2" i="15"/>
  <c r="K2" i="15" s="1"/>
  <c r="B2" i="12" s="1"/>
  <c r="K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<sst xmlns="http://schemas.openxmlformats.org/spreadsheetml/2006/main" count="121" uniqueCount="83">
  <si>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</si>
  <si>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</si>
  <si>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</si>
  <si>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</si>
  <si>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</si>
  <si>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</si>
  <si>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</si>
  <si>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</si>
  <si>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</si>
  <si>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</si>
  <si>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</si>
  <si>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</si>
  <si>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</si>
  <si>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</si>
  <si>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</si>
  <si>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</si>
  <si>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</si>
  <si>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</si>
  <si>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</si>
  <si>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</si>
  <si>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</si>
  <si>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</si>
  <si>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Indsats mod oversvømmelser</t>
  </si>
  <si>
    <t>Øget rensning af spildevand</t>
  </si>
  <si>
    <t xml:space="preserve">GIS-baseret oversvømmelseskort udført efter anmodning fra Kolding Kommune   </t>
  </si>
  <si>
    <t>Oversvømmelseskort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</si>
  <si>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</si>
  <si>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</si>
  <si>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</si>
  <si>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</si>
  <si>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</si>
  <si>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</si>
  <si>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</si>
  <si>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</si>
  <si>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</si>
  <si>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</si>
  <si>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</si>
  <si>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</si>
  <si>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</si>
  <si>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</si>
  <si>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</si>
  <si>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</si>
  <si>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</si>
  <si>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</si>
  <si>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</si>
  <si>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</si>
  <si>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</si>
  <si>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</si>
  <si>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</si>
  <si>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</si>
  <si>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</si>
  <si>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</si>
  <si>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</si>
  <si>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</si>
  <si>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</si>
  <si>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</si>
  <si>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</si>
  <si>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</si>
  <si>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</si>
  <si>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</si>
  <si>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</si>
  <si>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</si>
  <si>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</si>
  <si>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</si>
  <si>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</si>
  <si>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</si>
  <si>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</si>
  <si>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</si>
  <si>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</si>
  <si>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</si>
  <si>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</si>
  <si>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</si>
  <si>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</si>
  <si>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</si>
  <si>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</si>
  <si>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</si>
  <si>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Legeparken og Byparken</t>
  </si>
  <si>
    <t>LAR christiansfeld</t>
  </si>
  <si>
    <t>Rylevej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</si>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</sst>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47614793.793822974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2301972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192717.75493333332</v>
      </c>
      <c r="C4" t="s">
        <v>11</v>
      </c>
    </row>
    <row r="5" spans="1:3" s="26" customFormat="1" x14ac:dyDescent="0.25">
      <c r="A5" s="3" t="s">
        <v>12</v>
      </c>
      <c r="B5" s="48">
        <f>SUM(B2:B4)</f>
        <v>50109483.548756309</v>
      </c>
      <c r="C5" s="62" t="s">
        <v>11</v>
      </c>
    </row>
    <row r="6" spans="1:3" x14ac:dyDescent="0.25">
      <c r="A6" s="47" t="s">
        <v>0</v>
      </c>
      <c r="B6" s="38">
        <f>Investeringer!E3</f>
        <v>94728587.709091663</v>
      </c>
      <c r="C6" s="23" t="s">
        <v>11</v>
      </c>
    </row>
    <row r="7" spans="1:3" x14ac:dyDescent="0.25">
      <c r="A7" s="4" t="s">
        <v>1</v>
      </c>
      <c r="B7" s="35">
        <f>Investeringer!F3</f>
        <v>14042747.3465787</v>
      </c>
      <c r="C7" t="s">
        <v>11</v>
      </c>
    </row>
    <row r="8" spans="1:3" x14ac:dyDescent="0.25">
      <c r="A8" s="4" t="s">
        <v>2</v>
      </c>
      <c r="B8" s="35">
        <f>Investeringer!G3</f>
        <v>2474001.2514220742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721025</v>
      </c>
      <c r="C9" t="s">
        <v>11</v>
      </c>
    </row>
    <row r="10" spans="1:3" s="22" customFormat="1" x14ac:dyDescent="0.25">
      <c r="A10" s="3" t="s">
        <v>50</v>
      </c>
      <c r="B10" s="48">
        <f>SUM(B6:B9)</f>
        <v>111966361.30709244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9673679</v>
      </c>
      <c r="C11" t="s">
        <v>11</v>
      </c>
    </row>
    <row r="12" spans="1:3" s="22" customFormat="1" x14ac:dyDescent="0.25">
      <c r="A12" s="4" t="s">
        <v>52</v>
      </c>
      <c r="B12" s="35">
        <f>SUM(Medfinansiering!B:B)</f>
        <v>1756775</v>
      </c>
      <c r="C12" s="22" t="s">
        <v>11</v>
      </c>
    </row>
    <row r="13" spans="1:3" s="22" customFormat="1" x14ac:dyDescent="0.25">
      <c r="A13" s="3" t="s">
        <v>73</v>
      </c>
      <c r="B13" s="48">
        <f>SUM(B11:B12)</f>
        <v>11430454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63</v>
      </c>
      <c r="B15" s="37">
        <f>SUM(B5,B10,B13)</f>
        <v>173506298.85584876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55</v>
      </c>
      <c r="B17" s="37">
        <f>B15*Pristalsregulering!C8*Pristalsregulering!C9</f>
        <v>175042131.50168303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64</v>
      </c>
      <c r="D1" s="59" t="s">
        <v>65</v>
      </c>
      <c r="E1" s="59" t="s">
        <v>56</v>
      </c>
      <c r="F1" s="52" t="s">
        <v>66</v>
      </c>
      <c r="G1" s="52" t="s">
        <v>74</v>
      </c>
      <c r="H1" s="52" t="s">
        <v>67</v>
      </c>
      <c r="I1" s="52" t="s">
        <v>51</v>
      </c>
      <c r="J1" s="11" t="s">
        <v>68</v>
      </c>
      <c r="K1" s="11" t="s">
        <v>69</v>
      </c>
    </row>
    <row r="2" spans="1:11" s="23" customFormat="1" ht="15.75" thickTop="1" x14ac:dyDescent="0.25">
      <c r="A2" s="28">
        <v>2015</v>
      </c>
      <c r="B2" s="49">
        <v>47079943</v>
      </c>
      <c r="C2" s="49">
        <v>0</v>
      </c>
      <c r="D2" s="49">
        <f>B2+C2</f>
        <v>47079943</v>
      </c>
      <c r="E2" s="50">
        <f>D2</f>
        <v>47079943</v>
      </c>
      <c r="F2" s="49">
        <v>66210846.275418296</v>
      </c>
      <c r="G2" s="49">
        <v>4758777.6904291669</v>
      </c>
      <c r="H2" s="49">
        <f>F2-G2</f>
        <v>61452068.58498913</v>
      </c>
      <c r="I2" s="49">
        <f>AVERAGEIF(E2:E4,"&lt;&gt;0")</f>
        <v>46240060.18739333</v>
      </c>
      <c r="J2" s="49">
        <v>47614793.793822974</v>
      </c>
      <c r="K2" s="39">
        <f>IF(H2&gt;I2,IF(I2&gt;J2,I2,J2),H2)</f>
        <v>47614793.793822974</v>
      </c>
    </row>
    <row r="3" spans="1:11" s="23" customFormat="1" x14ac:dyDescent="0.25">
      <c r="A3" s="28">
        <v>2014</v>
      </c>
      <c r="B3" s="49">
        <v>44136374</v>
      </c>
      <c r="C3" s="49"/>
      <c r="D3" s="49">
        <f t="shared" ref="D3:D4" si="0">B3+C3</f>
        <v>44136374</v>
      </c>
      <c r="E3" s="50">
        <f>D3*Pristalsregulering!C7</f>
        <v>44171683.099199995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46729665</v>
      </c>
      <c r="C4" s="49"/>
      <c r="D4" s="49">
        <f t="shared" si="0"/>
        <v>46729665</v>
      </c>
      <c r="E4" s="50">
        <f>D4*Pristalsregulering!$C$6*Pristalsregulering!$C$7</f>
        <v>47468554.462979987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13" max="48" width="0" hidden="1" customWidth="1"/>
    <col min="49" max="49" width="9.140625" hidden="1" customWidth="1"/>
    <col min="50" max="66" width="0" hidden="1" customWidth="1"/>
    <col min="67" max="67" width="9.140625" hidden="1" customWidth="1"/>
    <col min="68" max="78" width="0" hidden="1" customWidth="1"/>
    <col min="79" max="79" width="9.140625" hidden="1" customWidth="1"/>
    <col min="80" max="91" width="0" hidden="1" customWidth="1"/>
    <col min="92" max="92" width="9.140625" hidden="1" customWidth="1"/>
    <col min="93" max="128" width="0" hidden="1" customWidth="1"/>
    <col min="129" max="129" width="9.140625" hidden="1" customWidth="1"/>
    <col min="130" max="146" width="0" hidden="1" customWidth="1"/>
    <col min="147" max="147" width="9.140625" hidden="1" customWidth="1"/>
    <col min="148" max="158" width="0" hidden="1" customWidth="1"/>
    <col min="159" max="159" width="9.140625" hidden="1" customWidth="1"/>
    <col min="160" max="164" width="0" hidden="1" customWidth="1"/>
    <col min="165" max="165" width="9.140625" hidden="1" customWidth="1"/>
    <col min="166" max="176" width="0" hidden="1" customWidth="1"/>
    <col min="177" max="177" width="9.140625" hidden="1" customWidth="1"/>
    <col min="178" max="188" width="0" hidden="1" customWidth="1"/>
    <col min="189" max="189" width="9.140625" hidden="1" customWidth="1"/>
    <col min="190" max="208" width="0" hidden="1" customWidth="1"/>
    <col min="209" max="209" width="9.140625" hidden="1" customWidth="1"/>
    <col min="210" max="226" width="0" hidden="1" customWidth="1"/>
    <col min="227" max="227" width="9.140625" hidden="1" customWidth="1"/>
    <col min="228" max="238" width="0" hidden="1" customWidth="1"/>
    <col min="239" max="239" width="9.140625" hidden="1" customWidth="1"/>
    <col min="240" max="244" width="0" hidden="1" customWidth="1"/>
    <col min="245" max="245" width="9.140625" hidden="1" customWidth="1"/>
    <col min="246" max="256" width="0" hidden="1" customWidth="1"/>
    <col min="257" max="257" width="9.140625" hidden="1" customWidth="1"/>
    <col min="258" max="268" width="0" hidden="1" customWidth="1"/>
    <col min="269" max="269" width="9.140625" hidden="1" customWidth="1"/>
    <col min="270" max="274" width="0" hidden="1" customWidth="1"/>
    <col min="275" max="275" width="9.140625" hidden="1" customWidth="1"/>
    <col min="276" max="286" width="0" hidden="1" customWidth="1"/>
    <col min="287" max="287" width="9.140625" hidden="1" customWidth="1"/>
    <col min="288" max="298" width="0" hidden="1" customWidth="1"/>
    <col min="299" max="300" width="9.140625" hidden="1" customWidth="1"/>
    <col min="301" max="311" width="0" hidden="1" customWidth="1"/>
    <col min="312" max="312" width="9.140625" hidden="1" customWidth="1"/>
    <col min="313" max="317" width="0" hidden="1" customWidth="1"/>
    <col min="318" max="318" width="9.140625" hidden="1" customWidth="1"/>
    <col min="319" max="329" width="0" hidden="1" customWidth="1"/>
    <col min="330" max="330" width="9.140625" hidden="1" customWidth="1"/>
    <col min="331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79</v>
      </c>
      <c r="C1" s="33"/>
      <c r="D1" s="33"/>
      <c r="E1" s="65" t="s">
        <v>80</v>
      </c>
      <c r="F1" s="10"/>
      <c r="G1" s="10"/>
      <c r="H1" s="65" t="s">
        <v>81</v>
      </c>
      <c r="I1" s="10"/>
      <c r="J1" s="10"/>
      <c r="K1" s="65"/>
    </row>
    <row r="2" spans="1:11" ht="60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25</v>
      </c>
      <c r="K2" s="53" t="s">
        <v>26</v>
      </c>
    </row>
    <row r="3" spans="1:11" s="22" customFormat="1" x14ac:dyDescent="0.25">
      <c r="A3" s="28">
        <v>2016</v>
      </c>
      <c r="B3" s="74">
        <v>0</v>
      </c>
      <c r="C3" s="74">
        <v>0</v>
      </c>
      <c r="D3" s="74">
        <v>0</v>
      </c>
      <c r="E3" s="45">
        <f>B3/Pristalsregulering!$C$8</f>
        <v>0</v>
      </c>
      <c r="F3" s="35">
        <f>C3/Pristalsregulering!$C$8</f>
        <v>0</v>
      </c>
      <c r="G3" s="35">
        <f>D3/Pristalsregulering!$C$8</f>
        <v>0</v>
      </c>
      <c r="H3" s="45">
        <f>IF(E4=0,0,AVERAGEIF(E4:E6,"&lt;&gt;0"))+E3</f>
        <v>0</v>
      </c>
      <c r="I3" s="38">
        <f>IF(F4=0,0,AVERAGEIF(F4:F6,"&lt;&gt;0"))+F3</f>
        <v>2301972</v>
      </c>
      <c r="J3" s="38">
        <f>IF(G4=0,0,AVERAGEIF(G4:G6,"&lt;&gt;0"))+G3</f>
        <v>0</v>
      </c>
      <c r="K3" s="57">
        <f>SUM(H3:J3)</f>
        <v>2301972</v>
      </c>
    </row>
    <row r="4" spans="1:11" x14ac:dyDescent="0.25">
      <c r="A4" s="28">
        <v>2015</v>
      </c>
      <c r="B4" s="35"/>
      <c r="C4" s="35">
        <v>2301972</v>
      </c>
      <c r="D4" s="35"/>
      <c r="E4" s="45">
        <f t="shared" ref="E4:G4" si="0">B4</f>
        <v>0</v>
      </c>
      <c r="F4" s="35">
        <f t="shared" si="0"/>
        <v>2301972</v>
      </c>
      <c r="G4" s="35">
        <f t="shared" si="0"/>
        <v>0</v>
      </c>
      <c r="H4" s="45"/>
      <c r="I4" s="38"/>
      <c r="J4" s="38"/>
      <c r="K4" s="54"/>
    </row>
    <row r="5" spans="1:11" x14ac:dyDescent="0.25">
      <c r="A5" s="28">
        <v>2014</v>
      </c>
      <c r="B5" s="35"/>
      <c r="C5" s="35"/>
      <c r="D5" s="35"/>
      <c r="E5" s="45">
        <f>B5*Pristalsregulering!$C$7</f>
        <v>0</v>
      </c>
      <c r="F5" s="35">
        <f>C5*Pristalsregulering!$C$7</f>
        <v>0</v>
      </c>
      <c r="G5" s="35">
        <f>D5*Pristalsregulering!$C$7</f>
        <v>0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/>
      <c r="D6" s="35">
        <v>608273</v>
      </c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617891.0126759999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27</v>
      </c>
      <c r="C1" s="76"/>
      <c r="D1" s="76"/>
      <c r="E1" s="77" t="s">
        <v>57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6" t="s">
        <v>30</v>
      </c>
      <c r="H2" s="6" t="s">
        <v>32</v>
      </c>
    </row>
    <row r="3" spans="1:8" x14ac:dyDescent="0.25">
      <c r="A3" s="31">
        <v>2015</v>
      </c>
      <c r="B3" s="41">
        <v>18000</v>
      </c>
      <c r="C3" s="42">
        <v>207040</v>
      </c>
      <c r="D3" s="42">
        <v>0</v>
      </c>
      <c r="E3" s="41">
        <f>B3</f>
        <v>18000</v>
      </c>
      <c r="F3" s="42">
        <f t="shared" ref="F3:G3" si="0">C3</f>
        <v>207040</v>
      </c>
      <c r="G3" s="43">
        <f t="shared" si="0"/>
        <v>0</v>
      </c>
      <c r="H3" s="44">
        <f>IF(E3=0,0,AVERAGEIF(E3:E5,"&lt;&gt;0"))+IF(F3=0,0,AVERAGEIF(F3:F5,"&lt;&gt;0"))+IF(G3=0,0,AVERAGEIF(G3:G5,"&lt;&gt;0"))</f>
        <v>192717.75493333332</v>
      </c>
    </row>
    <row r="4" spans="1:8" x14ac:dyDescent="0.25">
      <c r="A4" s="31">
        <v>2014</v>
      </c>
      <c r="B4" s="41">
        <v>18000</v>
      </c>
      <c r="C4" s="42">
        <v>156800</v>
      </c>
      <c r="D4" s="42">
        <v>0</v>
      </c>
      <c r="E4" s="41">
        <f>B4*Pristalsregulering!$C$7</f>
        <v>18014.399999999998</v>
      </c>
      <c r="F4" s="42">
        <f>C4*Pristalsregulering!$C$7</f>
        <v>156925.43999999997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25000</v>
      </c>
      <c r="C5" s="42">
        <v>150400</v>
      </c>
      <c r="D5" s="42">
        <v>0</v>
      </c>
      <c r="E5" s="41">
        <f>B5*Pristalsregulering!$C$7*Pristalsregulering!$C$6</f>
        <v>25395.299999999996</v>
      </c>
      <c r="F5" s="42">
        <f>C5*Pristalsregulering!$C$7*Pristalsregulering!$C$6</f>
        <v>152778.12479999996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8" t="s">
        <v>71</v>
      </c>
      <c r="C1" s="78"/>
      <c r="D1" s="79"/>
      <c r="E1" s="80" t="s">
        <v>72</v>
      </c>
      <c r="F1" s="80"/>
      <c r="G1" s="80"/>
    </row>
    <row r="2" spans="1:7" s="22" customFormat="1" ht="15.75" thickTop="1" x14ac:dyDescent="0.25">
      <c r="A2" s="71" t="s">
        <v>13</v>
      </c>
      <c r="B2" s="23" t="s">
        <v>70</v>
      </c>
      <c r="C2" s="23" t="s">
        <v>1</v>
      </c>
      <c r="D2" s="28" t="s">
        <v>82</v>
      </c>
      <c r="E2" s="22" t="s">
        <v>0</v>
      </c>
      <c r="F2" s="22" t="s">
        <v>1</v>
      </c>
      <c r="G2" s="22" t="s">
        <v>82</v>
      </c>
    </row>
    <row r="3" spans="1:7" s="22" customFormat="1" x14ac:dyDescent="0.25">
      <c r="A3" s="72">
        <v>2015</v>
      </c>
      <c r="B3" s="38">
        <v>87010818.185990736</v>
      </c>
      <c r="C3" s="38">
        <v>13587982.618066665</v>
      </c>
      <c r="D3" s="40">
        <v>2464600.0466666701</v>
      </c>
      <c r="E3" s="35">
        <f>B3*Pristalsregulering!C2*Pristalsregulering!C3*Pristalsregulering!C4*Pristalsregulering!C5*Pristalsregulering!C6*Pristalsregulering!C7</f>
        <v>94728587.709091663</v>
      </c>
      <c r="F3" s="35">
        <v>14042747.3465787</v>
      </c>
      <c r="G3" s="35">
        <f xml:space="preserve"> D3/Pristalsregulering!$C$8</f>
        <v>2474001.2514220742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43</v>
      </c>
      <c r="C1" s="76"/>
      <c r="D1" s="76"/>
      <c r="E1" s="76"/>
      <c r="F1" s="77" t="s">
        <v>58</v>
      </c>
      <c r="G1" s="78"/>
      <c r="H1" s="78"/>
      <c r="I1" s="78"/>
      <c r="J1" s="81" t="s">
        <v>32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1" t="s">
        <v>47</v>
      </c>
      <c r="F2" s="7" t="s">
        <v>44</v>
      </c>
      <c r="G2" s="7" t="s">
        <v>45</v>
      </c>
      <c r="H2" s="7" t="s">
        <v>46</v>
      </c>
      <c r="I2" s="51" t="s">
        <v>47</v>
      </c>
      <c r="J2" s="20" t="s">
        <v>48</v>
      </c>
      <c r="K2" s="20" t="s">
        <v>45</v>
      </c>
      <c r="L2" s="15" t="s">
        <v>75</v>
      </c>
      <c r="M2" s="6" t="s">
        <v>31</v>
      </c>
      <c r="N2" s="32"/>
    </row>
    <row r="3" spans="1:14" x14ac:dyDescent="0.25">
      <c r="A3" s="28">
        <v>2015</v>
      </c>
      <c r="B3" s="45">
        <v>740838</v>
      </c>
      <c r="C3" s="38">
        <v>474079</v>
      </c>
      <c r="D3" s="38">
        <v>0</v>
      </c>
      <c r="E3" s="40">
        <v>0</v>
      </c>
      <c r="F3" s="38">
        <f>B3</f>
        <v>740838</v>
      </c>
      <c r="G3" s="38">
        <f>C3</f>
        <v>474079</v>
      </c>
      <c r="H3" s="38">
        <f>D3</f>
        <v>0</v>
      </c>
      <c r="I3" s="40">
        <f>E3</f>
        <v>0</v>
      </c>
      <c r="J3" s="42">
        <f>AVERAGE(F3:F5)</f>
        <v>246946</v>
      </c>
      <c r="K3" s="42">
        <f>G3</f>
        <v>474079</v>
      </c>
      <c r="L3" s="43">
        <f>AVERAGE(H3:H5)+AVERAGE(I3:I5)</f>
        <v>0</v>
      </c>
      <c r="M3" s="44">
        <f>SUM(J3:L3)</f>
        <v>721025</v>
      </c>
      <c r="N3" s="23"/>
    </row>
    <row r="4" spans="1:14" x14ac:dyDescent="0.25">
      <c r="A4" s="28">
        <v>2014</v>
      </c>
      <c r="B4" s="45">
        <v>0</v>
      </c>
      <c r="C4" s="38">
        <v>715841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716413.67279999994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230855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234505.27925999995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59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398124</v>
      </c>
      <c r="E2" s="42">
        <v>811043</v>
      </c>
      <c r="F2" s="42">
        <v>2345871</v>
      </c>
      <c r="G2" s="42">
        <v>0</v>
      </c>
      <c r="H2" s="42">
        <v>6086118</v>
      </c>
      <c r="I2" s="42">
        <v>0</v>
      </c>
      <c r="J2" s="42"/>
      <c r="K2" s="42"/>
      <c r="L2" s="43">
        <v>0</v>
      </c>
      <c r="M2" s="44">
        <f>SUM(B2:L2)</f>
        <v>9673679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60</v>
      </c>
      <c r="B1" s="64" t="s">
        <v>61</v>
      </c>
    </row>
    <row r="2" spans="1:2" x14ac:dyDescent="0.25">
      <c r="A2" s="23" t="s">
        <v>76</v>
      </c>
      <c r="B2" s="35">
        <v>606886</v>
      </c>
    </row>
    <row r="3" spans="1:2" x14ac:dyDescent="0.25">
      <c r="A3" t="s">
        <v>77</v>
      </c>
      <c r="B3" s="35">
        <v>465431</v>
      </c>
    </row>
    <row r="4" spans="1:2" x14ac:dyDescent="0.25">
      <c r="A4" t="s">
        <v>78</v>
      </c>
      <c r="B4" s="35">
        <v>684458</v>
      </c>
    </row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62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2017-10-13T15:46:48Z</dcterms:modified>
</cp:coreProperties>
</file>