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1" i="23"/>
  <c r="E10" i="23"/>
  <c r="E12" i="23" s="1"/>
  <c r="E16" i="22"/>
  <c r="E13" i="22"/>
  <c r="E10" i="22"/>
  <c r="E12" i="22" s="1"/>
  <c r="E9" i="22"/>
  <c r="E11" i="22" s="1"/>
  <c r="G16" i="22"/>
  <c r="E14" i="22" l="1"/>
  <c r="G14" i="22" s="1"/>
  <c r="G17" i="22"/>
  <c r="E9" i="23"/>
  <c r="E13" i="15"/>
  <c r="E14" i="23" l="1"/>
  <c r="G14" i="23" s="1"/>
  <c r="G15" i="23" s="1"/>
  <c r="G13" i="9"/>
  <c r="G9" i="9"/>
  <c r="G9" i="8"/>
  <c r="G13" i="10" l="1"/>
  <c r="G16" i="9" l="1"/>
  <c r="G12" i="9"/>
  <c r="G12" i="8"/>
  <c r="E12" i="2"/>
  <c r="G11" i="10" l="1"/>
  <c r="F18" i="20"/>
  <c r="F19" i="20" s="1"/>
  <c r="E15" i="2" s="1"/>
  <c r="G21" i="19" l="1"/>
  <c r="G22" i="19" s="1"/>
  <c r="E11" i="2" s="1"/>
  <c r="F35" i="11" l="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6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7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<sst xmlns="http://schemas.openxmlformats.org/spreadsheetml/2006/main" count="432" uniqueCount="200">
  <si>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</si>
  <si>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</si>
  <si>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</si>
  <si>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</si>
  <si>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</si>
  <si>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</si>
  <si>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</si>
  <si>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</si>
  <si>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</si>
  <si>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</si>
  <si>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</si>
  <si>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</si>
  <si>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</si>
  <si>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</si>
  <si>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</si>
  <si>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</si>
  <si>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</si>
  <si>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</si>
  <si>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</si>
  <si>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</si>
  <si>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</si>
  <si>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</si>
  <si>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</si>
  <si>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</si>
  <si>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</si>
  <si>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</si>
  <si>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</si>
  <si>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</si>
  <si>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</si>
  <si>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</si>
  <si>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</si>
  <si>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</si>
  <si>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</si>
  <si>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</si>
  <si>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</si>
  <si>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</si>
  <si>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</si>
  <si>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</si>
  <si>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</si>
  <si>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</si>
  <si>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</si>
  <si>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</si>
  <si>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</si>
  <si>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</si>
  <si>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</si>
  <si>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</si>
  <si>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</si>
  <si>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</si>
  <si>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</si>
  <si>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</si>
  <si>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</si>
  <si>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</si>
  <si>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</si>
  <si>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</si>
  <si>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</si>
  <si>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</si>
  <si>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</si>
  <si>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</si>
  <si>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</si>
  <si>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</si>
  <si>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</si>
  <si>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</si>
  <si>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</si>
  <si>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</si>
  <si>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</si>
  <si>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</si>
  <si>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</si>
  <si>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</si>
  <si>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</si>
  <si>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</si>
  <si>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</si>
  <si>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</si>
  <si>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</si>
  <si>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</si>
  <si>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</si>
  <si>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</si>
  <si>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</si>
  <si>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</si>
  <si>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</si>
  <si>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</si>
  <si>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</si>
  <si>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</si>
  <si>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</si>
  <si>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</si>
  <si>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</si>
  <si>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</si>
  <si>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</si>
  <si>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</si>
  <si>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</si>
  <si>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</si>
  <si>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</si>
  <si>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</si>
  <si>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</si>
  <si>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</si>
  <si>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</si>
  <si>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</si>
  <si>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</si>
  <si>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</si>
  <si>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</si>
  <si>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</si>
  <si>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</si>
  <si>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</si>
  <si>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</si>
  <si>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</si>
  <si>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</si>
  <si>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</si>
  <si>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</si>
  <si>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</si>
  <si>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</si>
  <si>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</si>
  <si>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</si>
  <si>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</si>
  <si>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</si>
  <si>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</si>
  <si>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</si>
  <si>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</si>
  <si>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</si>
  <si>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</si>
  <si>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</si>
  <si>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</si>
  <si>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</si>
  <si>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</si>
  <si>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</si>
  <si>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</si>
  <si>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</si>
  <si>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</si>
  <si>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</si>
  <si>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</si>
  <si>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</si>
  <si>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</si>
  <si>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</si>
  <si>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</si>
  <si>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</si>
  <si>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</si>
  <si>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</si>
  <si>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</si>
  <si>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</si>
  <si>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</si>
  <si>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</si>
  <si>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</si>
  <si>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</si>
  <si>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</si>
  <si>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</si>
  <si>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</si>
  <si>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</si>
  <si>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</si>
  <si>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Konstruktioner</t>
  </si>
  <si>
    <t>Arbejdsplads</t>
  </si>
  <si>
    <t>Forafvanding, slam, Mek/EL</t>
  </si>
  <si>
    <t>Efterklaringstanke, Mek/El</t>
  </si>
  <si>
    <t>Indløb med riste, Mek/EL</t>
  </si>
  <si>
    <t>Værksteder, garager</t>
  </si>
  <si>
    <t>Rådnetanke, slam, Mek/EL</t>
  </si>
  <si>
    <t>Pumpestationer i underjordiske bygværker (&lt;50 m2), Mek/El</t>
  </si>
  <si>
    <t>Pumpestationer m. overbygning (&lt; 20 m2), Konstruktioner</t>
  </si>
  <si>
    <t>Pumpestationer i brønde (&lt; 6,25 m2), Mek/EL</t>
  </si>
  <si>
    <t>Pumpestationer i brønde (&lt; 6,25 m2), Konstruktioner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</si>
  <si>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</si>
  <si>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</si>
  <si>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</si>
  <si>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</si>
  <si>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Ledningsnet &gt; Ø 1600 mm (rørbassiner og transportledninger)</t>
  </si>
  <si>
    <t>Brønde</t>
  </si>
  <si>
    <t>Stik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</si>
  <si>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</si>
  <si>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</si>
  <si>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</si>
  <si>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</si>
  <si>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</si>
  <si>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</si>
  <si>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</si>
  <si>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</si>
  <si>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</si>
  <si>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</si>
  <si>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Akkumuleret restsskatter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</si>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</sst>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0.0"/>
    <numFmt numFmtId="167" formatCode="\(#,##0\);#,##0_)"/>
    <numFmt numFmtId="168" formatCode="#,##0_);\(#,##0\);0_);@"/>
    <numFmt numFmtId="169" formatCode="#,##0,_);\(#,##0,\)"/>
    <numFmt numFmtId="170" formatCode="\(#,##0,\);#,##0,_)"/>
    <numFmt numFmtId="171" formatCode="\(#,##0.00\);#,##0.00_)"/>
    <numFmt numFmtId="172" formatCode="_-* #,##0.00_-;\-* #,##0.00_-;_-* &quot;-&quot;??_-;_-@_-"/>
    <numFmt numFmtId="173" formatCode="_ &quot;kr&quot;\ * #,##0.00_ ;_ &quot;kr&quot;\ * \-#,##0.00_ ;_ &quot;kr&quot;\ * &quot;-&quot;??_ ;_ @_ "/>
  </numFmts>
  <fonts count="5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5" applyNumberFormat="0" applyAlignment="0" applyProtection="0"/>
    <xf numFmtId="0" fontId="25" fillId="17" borderId="16" applyNumberFormat="0" applyAlignment="0" applyProtection="0"/>
    <xf numFmtId="0" fontId="26" fillId="17" borderId="15" applyNumberFormat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29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8" fontId="16" fillId="0" borderId="0"/>
    <xf numFmtId="3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9" fontId="33" fillId="0" borderId="0" applyFill="0" applyBorder="0" applyProtection="0">
      <alignment horizontal="center"/>
    </xf>
    <xf numFmtId="37" fontId="33" fillId="0" borderId="21" applyFill="0" applyAlignment="0" applyProtection="0"/>
    <xf numFmtId="167" fontId="33" fillId="0" borderId="21" applyFill="0" applyAlignment="0" applyProtection="0"/>
    <xf numFmtId="169" fontId="33" fillId="0" borderId="21" applyFill="0" applyAlignment="0" applyProtection="0"/>
    <xf numFmtId="170" fontId="33" fillId="0" borderId="21" applyFill="0" applyAlignment="0" applyProtection="0"/>
    <xf numFmtId="43" fontId="16" fillId="0" borderId="0" applyFont="0" applyFill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2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49" borderId="22" applyNumberFormat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6" fillId="0" borderId="27" applyNumberFormat="0" applyFill="0" applyAlignment="0" applyProtection="0"/>
    <xf numFmtId="0" fontId="47" fillId="64" borderId="0" applyNumberFormat="0" applyBorder="0" applyAlignment="0" applyProtection="0"/>
    <xf numFmtId="0" fontId="16" fillId="65" borderId="28" applyNumberFormat="0" applyFont="0" applyAlignment="0" applyProtection="0"/>
    <xf numFmtId="0" fontId="48" fillId="62" borderId="29" applyNumberFormat="0" applyAlignment="0" applyProtection="0"/>
    <xf numFmtId="9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/>
    <xf numFmtId="37" fontId="52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37" fontId="52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8" fontId="16" fillId="0" borderId="0"/>
    <xf numFmtId="43" fontId="16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37" fontId="52" fillId="0" borderId="0"/>
    <xf numFmtId="0" fontId="16" fillId="0" borderId="0"/>
    <xf numFmtId="0" fontId="16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53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55" fillId="0" borderId="0" applyNumberFormat="0" applyBorder="0" applyAlignment="0"/>
    <xf numFmtId="0" fontId="55" fillId="0" borderId="0" applyNumberFormat="0" applyBorder="0" applyAlignment="0"/>
    <xf numFmtId="0" fontId="1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0" borderId="0"/>
    <xf numFmtId="0" fontId="16" fillId="0" borderId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16" fillId="65" borderId="28" applyNumberFormat="0" applyFont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0" fillId="0" borderId="30" applyNumberFormat="0" applyFill="0" applyAlignment="0" applyProtection="0"/>
    <xf numFmtId="43" fontId="45" fillId="0" borderId="0" applyFon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5" fillId="0" borderId="0" applyNumberFormat="0" applyBorder="0" applyAlignment="0"/>
    <xf numFmtId="0" fontId="1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3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5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2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6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122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98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142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73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54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42</v>
      </c>
      <c r="C9" s="86"/>
      <c r="D9" s="86"/>
      <c r="E9" s="86"/>
      <c r="F9" s="87"/>
      <c r="G9" s="27">
        <v>-987892</v>
      </c>
      <c r="H9" s="23" t="s">
        <v>4</v>
      </c>
      <c r="I9" s="2"/>
    </row>
    <row r="10" spans="1:9" x14ac:dyDescent="0.25">
      <c r="A10" s="2"/>
      <c r="B10" s="98" t="s">
        <v>120</v>
      </c>
      <c r="C10" s="86"/>
      <c r="D10" s="86"/>
      <c r="E10" s="86"/>
      <c r="F10" s="87"/>
      <c r="G10" s="27">
        <v>-987892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7">
        <f>G9-G10</f>
        <v>0</v>
      </c>
      <c r="H11" s="39" t="s">
        <v>4</v>
      </c>
      <c r="I11" s="2"/>
    </row>
    <row r="12" spans="1:9" x14ac:dyDescent="0.25">
      <c r="A12" s="2"/>
      <c r="B12" s="98" t="s">
        <v>43</v>
      </c>
      <c r="C12" s="86"/>
      <c r="D12" s="86"/>
      <c r="E12" s="86"/>
      <c r="F12" s="87"/>
      <c r="G12" s="27">
        <v>0</v>
      </c>
      <c r="H12" s="23" t="s">
        <v>125</v>
      </c>
      <c r="I12" s="2"/>
    </row>
    <row r="13" spans="1:9" x14ac:dyDescent="0.25">
      <c r="A13" s="2"/>
      <c r="B13" s="94" t="s">
        <v>41</v>
      </c>
      <c r="C13" s="95"/>
      <c r="D13" s="95"/>
      <c r="E13" s="95"/>
      <c r="F13" s="96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74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75</v>
      </c>
      <c r="C8" s="95"/>
      <c r="D8" s="95"/>
      <c r="E8" s="95"/>
      <c r="F8" s="95"/>
      <c r="G8" s="96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146</v>
      </c>
      <c r="C10" s="41">
        <v>2016</v>
      </c>
      <c r="D10" s="28">
        <v>60</v>
      </c>
      <c r="E10" s="27">
        <v>200574</v>
      </c>
      <c r="F10" s="12">
        <f>E10/D10</f>
        <v>3342.9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5</v>
      </c>
      <c r="E11" s="27">
        <v>247307</v>
      </c>
      <c r="F11" s="12">
        <f t="shared" ref="F11:F36" si="0">E11/D11</f>
        <v>49461.4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20</v>
      </c>
      <c r="E12" s="27">
        <v>1621124</v>
      </c>
      <c r="F12" s="12">
        <f t="shared" si="0"/>
        <v>81056.2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20</v>
      </c>
      <c r="E13" s="27">
        <v>43808</v>
      </c>
      <c r="F13" s="12">
        <f t="shared" si="0"/>
        <v>2190.4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107813</v>
      </c>
      <c r="F14" s="12">
        <f t="shared" si="0"/>
        <v>5390.65</v>
      </c>
      <c r="G14" s="23" t="s">
        <v>4</v>
      </c>
      <c r="H14" s="2"/>
    </row>
    <row r="15" spans="1:8" x14ac:dyDescent="0.25">
      <c r="A15" s="2"/>
      <c r="B15" s="47" t="s">
        <v>150</v>
      </c>
      <c r="C15" s="41">
        <v>2016</v>
      </c>
      <c r="D15" s="28">
        <v>20</v>
      </c>
      <c r="E15" s="27">
        <v>251192</v>
      </c>
      <c r="F15" s="12">
        <f t="shared" si="0"/>
        <v>12559.6</v>
      </c>
      <c r="G15" s="23" t="s">
        <v>4</v>
      </c>
      <c r="H15" s="2"/>
    </row>
    <row r="16" spans="1:8" x14ac:dyDescent="0.25">
      <c r="A16" s="2"/>
      <c r="B16" s="47" t="s">
        <v>151</v>
      </c>
      <c r="C16" s="41">
        <v>2016</v>
      </c>
      <c r="D16" s="28">
        <v>75</v>
      </c>
      <c r="E16" s="27">
        <v>304752</v>
      </c>
      <c r="F16" s="12">
        <f t="shared" si="0"/>
        <v>4063.36</v>
      </c>
      <c r="G16" s="23" t="s">
        <v>4</v>
      </c>
      <c r="H16" s="2"/>
    </row>
    <row r="17" spans="1:8" x14ac:dyDescent="0.25">
      <c r="A17" s="2"/>
      <c r="B17" s="47" t="s">
        <v>152</v>
      </c>
      <c r="C17" s="41">
        <v>2016</v>
      </c>
      <c r="D17" s="28">
        <v>20</v>
      </c>
      <c r="E17" s="27">
        <v>177936</v>
      </c>
      <c r="F17" s="12">
        <f t="shared" si="0"/>
        <v>8896.7999999999993</v>
      </c>
      <c r="G17" s="23" t="s">
        <v>4</v>
      </c>
      <c r="H17" s="2"/>
    </row>
    <row r="18" spans="1:8" x14ac:dyDescent="0.25">
      <c r="A18" s="2"/>
      <c r="B18" s="47" t="s">
        <v>150</v>
      </c>
      <c r="C18" s="41">
        <v>2016</v>
      </c>
      <c r="D18" s="28">
        <v>20</v>
      </c>
      <c r="E18" s="27">
        <v>99251</v>
      </c>
      <c r="F18" s="12">
        <f t="shared" si="0"/>
        <v>4962.55</v>
      </c>
      <c r="G18" s="23" t="s">
        <v>4</v>
      </c>
      <c r="H18" s="2"/>
    </row>
    <row r="19" spans="1:8" ht="26.25" x14ac:dyDescent="0.25">
      <c r="A19" s="2"/>
      <c r="B19" s="47" t="s">
        <v>153</v>
      </c>
      <c r="C19" s="41">
        <v>2016</v>
      </c>
      <c r="D19" s="28">
        <v>20</v>
      </c>
      <c r="E19" s="27">
        <v>252243</v>
      </c>
      <c r="F19" s="12">
        <f t="shared" si="0"/>
        <v>12612.15</v>
      </c>
      <c r="G19" s="23" t="s">
        <v>4</v>
      </c>
      <c r="H19" s="2"/>
    </row>
    <row r="20" spans="1:8" ht="26.25" x14ac:dyDescent="0.25">
      <c r="A20" s="2"/>
      <c r="B20" s="47" t="s">
        <v>154</v>
      </c>
      <c r="C20" s="41">
        <v>2016</v>
      </c>
      <c r="D20" s="28">
        <v>50</v>
      </c>
      <c r="E20" s="27">
        <v>483856</v>
      </c>
      <c r="F20" s="12">
        <f t="shared" si="0"/>
        <v>9677.1200000000008</v>
      </c>
      <c r="G20" s="23" t="s">
        <v>4</v>
      </c>
      <c r="H20" s="2"/>
    </row>
    <row r="21" spans="1:8" x14ac:dyDescent="0.25">
      <c r="A21" s="2"/>
      <c r="B21" s="47" t="s">
        <v>155</v>
      </c>
      <c r="C21" s="41">
        <v>2016</v>
      </c>
      <c r="D21" s="28">
        <v>20</v>
      </c>
      <c r="E21" s="27">
        <v>90723</v>
      </c>
      <c r="F21" s="12">
        <f t="shared" si="0"/>
        <v>4536.1499999999996</v>
      </c>
      <c r="G21" s="23" t="s">
        <v>4</v>
      </c>
      <c r="H21" s="2"/>
    </row>
    <row r="22" spans="1:8" x14ac:dyDescent="0.25">
      <c r="A22" s="2"/>
      <c r="B22" s="47" t="s">
        <v>155</v>
      </c>
      <c r="C22" s="41">
        <v>2016</v>
      </c>
      <c r="D22" s="28">
        <v>20</v>
      </c>
      <c r="E22" s="27">
        <v>30241</v>
      </c>
      <c r="F22" s="12">
        <f t="shared" si="0"/>
        <v>1512.05</v>
      </c>
      <c r="G22" s="23" t="s">
        <v>4</v>
      </c>
      <c r="H22" s="2"/>
    </row>
    <row r="23" spans="1:8" ht="26.25" x14ac:dyDescent="0.25">
      <c r="A23" s="2"/>
      <c r="B23" s="47" t="s">
        <v>156</v>
      </c>
      <c r="C23" s="41">
        <v>2016</v>
      </c>
      <c r="D23" s="28">
        <v>50</v>
      </c>
      <c r="E23" s="27">
        <v>299608</v>
      </c>
      <c r="F23" s="12">
        <f t="shared" si="0"/>
        <v>5992.16</v>
      </c>
      <c r="G23" s="23" t="s">
        <v>4</v>
      </c>
      <c r="H23" s="2"/>
    </row>
    <row r="24" spans="1:8" x14ac:dyDescent="0.25">
      <c r="A24" s="2"/>
      <c r="B24" s="47" t="s">
        <v>155</v>
      </c>
      <c r="C24" s="41">
        <v>2016</v>
      </c>
      <c r="D24" s="28">
        <v>20</v>
      </c>
      <c r="E24" s="27">
        <v>56176</v>
      </c>
      <c r="F24" s="12">
        <f t="shared" si="0"/>
        <v>2808.8</v>
      </c>
      <c r="G24" s="23" t="s">
        <v>4</v>
      </c>
      <c r="H24" s="2"/>
    </row>
    <row r="25" spans="1:8" x14ac:dyDescent="0.25">
      <c r="A25" s="2"/>
      <c r="B25" s="47" t="s">
        <v>155</v>
      </c>
      <c r="C25" s="41">
        <v>2016</v>
      </c>
      <c r="D25" s="28">
        <v>20</v>
      </c>
      <c r="E25" s="27">
        <v>18725</v>
      </c>
      <c r="F25" s="12">
        <f t="shared" si="0"/>
        <v>936.25</v>
      </c>
      <c r="G25" s="23" t="s">
        <v>4</v>
      </c>
      <c r="H25" s="2"/>
    </row>
    <row r="26" spans="1:8" x14ac:dyDescent="0.25">
      <c r="A26" s="2"/>
      <c r="B26" s="47" t="s">
        <v>155</v>
      </c>
      <c r="C26" s="41">
        <v>2016</v>
      </c>
      <c r="D26" s="28">
        <v>20</v>
      </c>
      <c r="E26" s="27">
        <v>313893</v>
      </c>
      <c r="F26" s="12">
        <f t="shared" si="0"/>
        <v>15694.65</v>
      </c>
      <c r="G26" s="23" t="s">
        <v>4</v>
      </c>
      <c r="H26" s="2"/>
    </row>
    <row r="27" spans="1:8" ht="26.25" x14ac:dyDescent="0.25">
      <c r="A27" s="2"/>
      <c r="B27" s="47" t="s">
        <v>156</v>
      </c>
      <c r="C27" s="41">
        <v>2016</v>
      </c>
      <c r="D27" s="28">
        <v>50</v>
      </c>
      <c r="E27" s="27">
        <v>80273</v>
      </c>
      <c r="F27" s="12">
        <f t="shared" si="0"/>
        <v>1605.46</v>
      </c>
      <c r="G27" s="23" t="s">
        <v>4</v>
      </c>
      <c r="H27" s="2"/>
    </row>
    <row r="28" spans="1:8" x14ac:dyDescent="0.25">
      <c r="A28" s="2"/>
      <c r="B28" s="47" t="s">
        <v>147</v>
      </c>
      <c r="C28" s="41">
        <v>2016</v>
      </c>
      <c r="D28" s="28">
        <v>5</v>
      </c>
      <c r="E28" s="27">
        <v>126303</v>
      </c>
      <c r="F28" s="12">
        <f t="shared" si="0"/>
        <v>25260.6</v>
      </c>
      <c r="G28" s="23" t="s">
        <v>4</v>
      </c>
      <c r="H28" s="2"/>
    </row>
    <row r="29" spans="1:8" x14ac:dyDescent="0.25">
      <c r="A29" s="2"/>
      <c r="B29" s="47" t="s">
        <v>157</v>
      </c>
      <c r="C29" s="41">
        <v>2016</v>
      </c>
      <c r="D29" s="28">
        <v>75</v>
      </c>
      <c r="E29" s="27">
        <v>5421032</v>
      </c>
      <c r="F29" s="12">
        <f t="shared" si="0"/>
        <v>72280.426666666666</v>
      </c>
      <c r="G29" s="23" t="s">
        <v>4</v>
      </c>
      <c r="H29" s="2"/>
    </row>
    <row r="30" spans="1:8" x14ac:dyDescent="0.25">
      <c r="A30" s="2"/>
      <c r="B30" s="47" t="s">
        <v>158</v>
      </c>
      <c r="C30" s="41">
        <v>2016</v>
      </c>
      <c r="D30" s="28">
        <v>75</v>
      </c>
      <c r="E30" s="27">
        <v>15854775</v>
      </c>
      <c r="F30" s="12">
        <f t="shared" si="0"/>
        <v>211397</v>
      </c>
      <c r="G30" s="23" t="s">
        <v>4</v>
      </c>
      <c r="H30" s="2"/>
    </row>
    <row r="31" spans="1:8" x14ac:dyDescent="0.25">
      <c r="A31" s="2"/>
      <c r="B31" s="47" t="s">
        <v>159</v>
      </c>
      <c r="C31" s="41">
        <v>2016</v>
      </c>
      <c r="D31" s="28">
        <v>75</v>
      </c>
      <c r="E31" s="27">
        <v>4765474</v>
      </c>
      <c r="F31" s="12">
        <f t="shared" si="0"/>
        <v>63539.653333333335</v>
      </c>
      <c r="G31" s="23" t="s">
        <v>4</v>
      </c>
      <c r="H31" s="2"/>
    </row>
    <row r="32" spans="1:8" x14ac:dyDescent="0.25">
      <c r="A32" s="2"/>
      <c r="B32" s="47" t="s">
        <v>160</v>
      </c>
      <c r="C32" s="41">
        <v>2016</v>
      </c>
      <c r="D32" s="28">
        <v>75</v>
      </c>
      <c r="E32" s="27">
        <v>167043</v>
      </c>
      <c r="F32" s="12">
        <f t="shared" si="0"/>
        <v>2227.2399999999998</v>
      </c>
      <c r="G32" s="23" t="s">
        <v>4</v>
      </c>
      <c r="H32" s="2"/>
    </row>
    <row r="33" spans="1:8" ht="26.25" x14ac:dyDescent="0.25">
      <c r="A33" s="2"/>
      <c r="B33" s="47" t="s">
        <v>161</v>
      </c>
      <c r="C33" s="41">
        <v>2016</v>
      </c>
      <c r="D33" s="28">
        <v>75</v>
      </c>
      <c r="E33" s="27">
        <v>2076856</v>
      </c>
      <c r="F33" s="12">
        <f t="shared" si="0"/>
        <v>27691.413333333334</v>
      </c>
      <c r="G33" s="23" t="s">
        <v>4</v>
      </c>
      <c r="H33" s="2"/>
    </row>
    <row r="34" spans="1:8" x14ac:dyDescent="0.25">
      <c r="A34" s="2"/>
      <c r="B34" s="47" t="s">
        <v>162</v>
      </c>
      <c r="C34" s="41">
        <v>2016</v>
      </c>
      <c r="D34" s="28">
        <v>75</v>
      </c>
      <c r="E34" s="27">
        <v>4081223</v>
      </c>
      <c r="F34" s="12">
        <f t="shared" si="0"/>
        <v>54416.306666666664</v>
      </c>
      <c r="G34" s="23" t="s">
        <v>4</v>
      </c>
      <c r="H34" s="2"/>
    </row>
    <row r="35" spans="1:8" x14ac:dyDescent="0.25">
      <c r="A35" s="2"/>
      <c r="B35" s="47" t="s">
        <v>163</v>
      </c>
      <c r="C35" s="41">
        <v>2016</v>
      </c>
      <c r="D35" s="28">
        <v>75</v>
      </c>
      <c r="E35" s="27">
        <v>6463286</v>
      </c>
      <c r="F35" s="12">
        <f t="shared" si="0"/>
        <v>86177.146666666667</v>
      </c>
      <c r="G35" s="23" t="s">
        <v>4</v>
      </c>
      <c r="H35" s="2"/>
    </row>
    <row r="36" spans="1:8" ht="26.25" x14ac:dyDescent="0.25">
      <c r="A36" s="2"/>
      <c r="B36" s="47" t="s">
        <v>164</v>
      </c>
      <c r="C36" s="41">
        <v>2016</v>
      </c>
      <c r="D36" s="28">
        <v>50</v>
      </c>
      <c r="E36" s="27">
        <v>323161</v>
      </c>
      <c r="F36" s="12">
        <f t="shared" si="0"/>
        <v>6463.22</v>
      </c>
      <c r="G36" s="23" t="s">
        <v>4</v>
      </c>
      <c r="H36" s="2"/>
    </row>
    <row r="37" spans="1:8" x14ac:dyDescent="0.25">
      <c r="A37" s="2"/>
      <c r="B37" s="94" t="s">
        <v>76</v>
      </c>
      <c r="C37" s="95"/>
      <c r="D37" s="95"/>
      <c r="E37" s="96"/>
      <c r="F37" s="21">
        <f>SUM(F10:F36)</f>
        <v>776751.6566666665</v>
      </c>
      <c r="G37" s="22" t="s">
        <v>4</v>
      </c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</sheetData>
  <sheetProtection password="DFE9" sheet="1" objects="1" scenarios="1"/>
  <mergeCells count="4">
    <mergeCell ref="B37:E3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183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98" t="s">
        <v>78</v>
      </c>
      <c r="C9" s="86"/>
      <c r="D9" s="86"/>
      <c r="E9" s="86"/>
      <c r="F9" s="87"/>
      <c r="G9" s="27">
        <v>8965511.6400000006</v>
      </c>
      <c r="H9" s="23" t="s">
        <v>4</v>
      </c>
      <c r="I9" s="2"/>
    </row>
    <row r="10" spans="1:9" x14ac:dyDescent="0.25">
      <c r="A10" s="2"/>
      <c r="B10" s="98" t="s">
        <v>79</v>
      </c>
      <c r="C10" s="86"/>
      <c r="D10" s="86"/>
      <c r="E10" s="86"/>
      <c r="F10" s="87"/>
      <c r="G10" s="27">
        <v>5036500</v>
      </c>
      <c r="H10" s="23" t="s">
        <v>4</v>
      </c>
      <c r="I10" s="2"/>
    </row>
    <row r="11" spans="1:9" x14ac:dyDescent="0.25">
      <c r="A11" s="2"/>
      <c r="B11" s="94" t="s">
        <v>184</v>
      </c>
      <c r="C11" s="95"/>
      <c r="D11" s="95"/>
      <c r="E11" s="95"/>
      <c r="F11" s="96"/>
      <c r="G11" s="21">
        <f>G9-G10</f>
        <v>3929011.6400000006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185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98" t="s">
        <v>80</v>
      </c>
      <c r="C15" s="86"/>
      <c r="D15" s="86"/>
      <c r="E15" s="86"/>
      <c r="F15" s="87"/>
      <c r="G15" s="27">
        <v>7397417.6399999997</v>
      </c>
      <c r="H15" s="23" t="s">
        <v>4</v>
      </c>
      <c r="I15" s="2"/>
    </row>
    <row r="16" spans="1:9" x14ac:dyDescent="0.25">
      <c r="A16" s="2"/>
      <c r="B16" s="98" t="s">
        <v>81</v>
      </c>
      <c r="C16" s="86"/>
      <c r="D16" s="86"/>
      <c r="E16" s="86"/>
      <c r="F16" s="87"/>
      <c r="G16" s="27">
        <v>4550000</v>
      </c>
      <c r="H16" s="23" t="s">
        <v>4</v>
      </c>
      <c r="I16" s="2"/>
    </row>
    <row r="17" spans="1:9" x14ac:dyDescent="0.25">
      <c r="A17" s="2"/>
      <c r="B17" s="94" t="s">
        <v>185</v>
      </c>
      <c r="C17" s="95"/>
      <c r="D17" s="95"/>
      <c r="E17" s="95"/>
      <c r="F17" s="96"/>
      <c r="G17" s="21">
        <f>G15-G16</f>
        <v>2847417.6399999997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186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98" t="s">
        <v>82</v>
      </c>
      <c r="C21" s="86"/>
      <c r="D21" s="86"/>
      <c r="E21" s="86"/>
      <c r="F21" s="87"/>
      <c r="G21" s="27">
        <v>15855.94</v>
      </c>
      <c r="H21" s="23" t="s">
        <v>4</v>
      </c>
      <c r="I21" s="2"/>
    </row>
    <row r="22" spans="1:9" x14ac:dyDescent="0.25">
      <c r="A22" s="2"/>
      <c r="B22" s="98" t="s">
        <v>83</v>
      </c>
      <c r="C22" s="86"/>
      <c r="D22" s="86"/>
      <c r="E22" s="86"/>
      <c r="F22" s="87"/>
      <c r="G22" s="27">
        <v>45000</v>
      </c>
      <c r="H22" s="23" t="s">
        <v>4</v>
      </c>
      <c r="I22" s="2"/>
    </row>
    <row r="23" spans="1:9" x14ac:dyDescent="0.25">
      <c r="A23" s="2"/>
      <c r="B23" s="94" t="s">
        <v>186</v>
      </c>
      <c r="C23" s="95"/>
      <c r="D23" s="95"/>
      <c r="E23" s="95"/>
      <c r="F23" s="96"/>
      <c r="G23" s="21">
        <f>G21-G22</f>
        <v>-29144.059999999998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187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1" t="s">
        <v>84</v>
      </c>
      <c r="C27" s="92"/>
      <c r="D27" s="92"/>
      <c r="E27" s="92"/>
      <c r="F27" s="93"/>
      <c r="G27" s="27">
        <v>0</v>
      </c>
      <c r="H27" s="23" t="s">
        <v>4</v>
      </c>
      <c r="I27" s="2"/>
    </row>
    <row r="28" spans="1:9" x14ac:dyDescent="0.25">
      <c r="A28" s="2"/>
      <c r="B28" s="98" t="s">
        <v>85</v>
      </c>
      <c r="C28" s="86"/>
      <c r="D28" s="86"/>
      <c r="E28" s="86"/>
      <c r="F28" s="87"/>
      <c r="G28" s="27">
        <v>371242</v>
      </c>
      <c r="H28" s="23" t="s">
        <v>4</v>
      </c>
      <c r="I28" s="2"/>
    </row>
    <row r="29" spans="1:9" ht="15" customHeight="1" x14ac:dyDescent="0.25">
      <c r="A29" s="2"/>
      <c r="B29" s="104" t="s">
        <v>187</v>
      </c>
      <c r="C29" s="105"/>
      <c r="D29" s="105"/>
      <c r="E29" s="105"/>
      <c r="F29" s="106"/>
      <c r="G29" s="21">
        <f>G27-G28</f>
        <v>-371242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86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98" t="s">
        <v>87</v>
      </c>
      <c r="C33" s="86"/>
      <c r="D33" s="86"/>
      <c r="E33" s="86"/>
      <c r="F33" s="87"/>
      <c r="G33" s="12">
        <f>'Fane 8. Gen. inv. i 2016'!F37</f>
        <v>776751.6566666665</v>
      </c>
      <c r="H33" s="23" t="s">
        <v>4</v>
      </c>
      <c r="I33" s="2"/>
    </row>
    <row r="34" spans="1:9" x14ac:dyDescent="0.25">
      <c r="A34" s="2"/>
      <c r="B34" s="98" t="s">
        <v>88</v>
      </c>
      <c r="C34" s="86"/>
      <c r="D34" s="86"/>
      <c r="E34" s="86"/>
      <c r="F34" s="87"/>
      <c r="G34" s="27">
        <v>666666.66666666663</v>
      </c>
      <c r="H34" s="23" t="s">
        <v>4</v>
      </c>
      <c r="I34" s="2"/>
    </row>
    <row r="35" spans="1:9" x14ac:dyDescent="0.25">
      <c r="A35" s="2"/>
      <c r="B35" s="94" t="s">
        <v>86</v>
      </c>
      <c r="C35" s="95"/>
      <c r="D35" s="95"/>
      <c r="E35" s="95"/>
      <c r="F35" s="96"/>
      <c r="G35" s="21">
        <f>G33-G34</f>
        <v>110084.98999999987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89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90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9" t="s">
        <v>91</v>
      </c>
      <c r="C9" s="100"/>
      <c r="D9" s="100"/>
      <c r="E9" s="100"/>
      <c r="F9" s="101"/>
      <c r="G9" s="26">
        <v>120155889.89636001</v>
      </c>
      <c r="H9" s="38" t="s">
        <v>4</v>
      </c>
      <c r="I9" s="2"/>
    </row>
    <row r="10" spans="1:9" x14ac:dyDescent="0.25">
      <c r="A10" s="2"/>
      <c r="B10" s="94" t="s">
        <v>92</v>
      </c>
      <c r="C10" s="95"/>
      <c r="D10" s="95"/>
      <c r="E10" s="95"/>
      <c r="F10" s="95"/>
      <c r="G10" s="95"/>
      <c r="H10" s="96"/>
      <c r="I10" s="2"/>
    </row>
    <row r="11" spans="1:9" x14ac:dyDescent="0.25">
      <c r="A11" s="2"/>
      <c r="B11" s="98" t="s">
        <v>19</v>
      </c>
      <c r="C11" s="86"/>
      <c r="D11" s="87"/>
      <c r="E11" s="27">
        <v>43496719</v>
      </c>
      <c r="F11" s="23" t="s">
        <v>4</v>
      </c>
      <c r="G11" s="20"/>
      <c r="H11" s="42"/>
      <c r="I11" s="2"/>
    </row>
    <row r="12" spans="1:9" x14ac:dyDescent="0.25">
      <c r="A12" s="2"/>
      <c r="B12" s="98" t="s">
        <v>93</v>
      </c>
      <c r="C12" s="86"/>
      <c r="D12" s="87"/>
      <c r="E12" s="27">
        <v>9711642.8566666655</v>
      </c>
      <c r="F12" s="23" t="s">
        <v>4</v>
      </c>
      <c r="G12" s="15"/>
      <c r="H12" s="43"/>
      <c r="I12" s="2"/>
    </row>
    <row r="13" spans="1:9" x14ac:dyDescent="0.25">
      <c r="A13" s="2"/>
      <c r="B13" s="98" t="s">
        <v>94</v>
      </c>
      <c r="C13" s="86"/>
      <c r="D13" s="87"/>
      <c r="E13" s="27">
        <v>3551270</v>
      </c>
      <c r="F13" s="23" t="s">
        <v>4</v>
      </c>
      <c r="G13" s="15"/>
      <c r="H13" s="43"/>
      <c r="I13" s="2"/>
    </row>
    <row r="14" spans="1:9" x14ac:dyDescent="0.25">
      <c r="A14" s="2"/>
      <c r="B14" s="98" t="s">
        <v>95</v>
      </c>
      <c r="C14" s="86"/>
      <c r="D14" s="87"/>
      <c r="E14" s="27">
        <v>2065365</v>
      </c>
      <c r="F14" s="23" t="s">
        <v>4</v>
      </c>
      <c r="G14" s="15"/>
      <c r="H14" s="43"/>
      <c r="I14" s="2"/>
    </row>
    <row r="15" spans="1:9" x14ac:dyDescent="0.25">
      <c r="A15" s="2"/>
      <c r="B15" s="99" t="s">
        <v>20</v>
      </c>
      <c r="C15" s="100"/>
      <c r="D15" s="101"/>
      <c r="E15" s="18">
        <f>SUM(E11:E14)</f>
        <v>58824996.856666669</v>
      </c>
      <c r="F15" s="38" t="s">
        <v>4</v>
      </c>
      <c r="G15" s="15"/>
      <c r="H15" s="43"/>
      <c r="I15" s="2"/>
    </row>
    <row r="16" spans="1:9" x14ac:dyDescent="0.25">
      <c r="A16" s="2"/>
      <c r="B16" s="98" t="s">
        <v>21</v>
      </c>
      <c r="C16" s="86"/>
      <c r="D16" s="87"/>
      <c r="E16" s="27">
        <v>47591.9</v>
      </c>
      <c r="F16" s="23" t="s">
        <v>4</v>
      </c>
      <c r="G16" s="15"/>
      <c r="H16" s="43"/>
      <c r="I16" s="2"/>
    </row>
    <row r="17" spans="1:9" x14ac:dyDescent="0.25">
      <c r="A17" s="2"/>
      <c r="B17" s="98" t="s">
        <v>22</v>
      </c>
      <c r="C17" s="86"/>
      <c r="D17" s="87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8" t="s">
        <v>23</v>
      </c>
      <c r="C18" s="86"/>
      <c r="D18" s="87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9" t="s">
        <v>24</v>
      </c>
      <c r="C19" s="100"/>
      <c r="D19" s="101"/>
      <c r="E19" s="18">
        <f>SUM(E16:E18)</f>
        <v>47591.9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1" t="s">
        <v>25</v>
      </c>
      <c r="C20" s="92"/>
      <c r="D20" s="93"/>
      <c r="E20" s="27">
        <v>-11866146.869999999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1" t="s">
        <v>26</v>
      </c>
      <c r="C21" s="92"/>
      <c r="D21" s="93"/>
      <c r="E21" s="27">
        <v>-29618322</v>
      </c>
      <c r="F21" s="23" t="s">
        <v>4</v>
      </c>
      <c r="G21" s="15"/>
      <c r="H21" s="43"/>
      <c r="I21" s="2"/>
    </row>
    <row r="22" spans="1:9" x14ac:dyDescent="0.25">
      <c r="A22" s="2"/>
      <c r="B22" s="98" t="s">
        <v>27</v>
      </c>
      <c r="C22" s="86"/>
      <c r="D22" s="87"/>
      <c r="E22" s="27">
        <v>-15659674</v>
      </c>
      <c r="F22" s="23" t="s">
        <v>4</v>
      </c>
      <c r="G22" s="15"/>
      <c r="H22" s="43"/>
      <c r="I22" s="2"/>
    </row>
    <row r="23" spans="1:9" x14ac:dyDescent="0.25">
      <c r="A23" s="2"/>
      <c r="B23" s="98" t="s">
        <v>28</v>
      </c>
      <c r="C23" s="86"/>
      <c r="D23" s="87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1" t="s">
        <v>29</v>
      </c>
      <c r="C24" s="92"/>
      <c r="D24" s="93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1" t="s">
        <v>30</v>
      </c>
      <c r="C25" s="92"/>
      <c r="D25" s="93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1" t="s">
        <v>31</v>
      </c>
      <c r="C26" s="92"/>
      <c r="D26" s="93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9" t="s">
        <v>32</v>
      </c>
      <c r="C27" s="100"/>
      <c r="D27" s="101"/>
      <c r="E27" s="18">
        <f>SUM(E20:E26)</f>
        <v>-57144142.869999997</v>
      </c>
      <c r="F27" s="38" t="s">
        <v>4</v>
      </c>
      <c r="G27" s="16"/>
      <c r="H27" s="44"/>
      <c r="I27" s="2"/>
    </row>
    <row r="28" spans="1:9" x14ac:dyDescent="0.25">
      <c r="A28" s="2"/>
      <c r="B28" s="99" t="s">
        <v>33</v>
      </c>
      <c r="C28" s="100"/>
      <c r="D28" s="101"/>
      <c r="E28" s="18">
        <f>E15+E19+E27</f>
        <v>1728445.8866666704</v>
      </c>
      <c r="F28" s="38" t="s">
        <v>4</v>
      </c>
      <c r="G28" s="1">
        <f>IF(E28&lt;0,0,-E28)</f>
        <v>-1728445.8866666704</v>
      </c>
      <c r="H28" s="38" t="s">
        <v>4</v>
      </c>
      <c r="I28" s="2"/>
    </row>
    <row r="29" spans="1:9" x14ac:dyDescent="0.25">
      <c r="A29" s="2"/>
      <c r="B29" s="94" t="s">
        <v>96</v>
      </c>
      <c r="C29" s="95"/>
      <c r="D29" s="95"/>
      <c r="E29" s="95"/>
      <c r="F29" s="95"/>
      <c r="G29" s="95"/>
      <c r="H29" s="96"/>
      <c r="I29" s="2"/>
    </row>
    <row r="30" spans="1:9" x14ac:dyDescent="0.25">
      <c r="A30" s="2"/>
      <c r="B30" s="99" t="s">
        <v>96</v>
      </c>
      <c r="C30" s="100"/>
      <c r="D30" s="101"/>
      <c r="E30" s="26">
        <v>13912962</v>
      </c>
      <c r="F30" s="38" t="s">
        <v>4</v>
      </c>
      <c r="G30" s="18">
        <f>-$E$30</f>
        <v>-13912962</v>
      </c>
      <c r="H30" s="38" t="s">
        <v>4</v>
      </c>
      <c r="I30" s="2"/>
    </row>
    <row r="31" spans="1:9" x14ac:dyDescent="0.25">
      <c r="A31" s="2"/>
      <c r="B31" s="121" t="s">
        <v>57</v>
      </c>
      <c r="C31" s="95"/>
      <c r="D31" s="95"/>
      <c r="E31" s="95"/>
      <c r="F31" s="95"/>
      <c r="G31" s="95"/>
      <c r="H31" s="96"/>
      <c r="I31" s="2"/>
    </row>
    <row r="32" spans="1:9" ht="30" customHeight="1" x14ac:dyDescent="0.25">
      <c r="A32" s="2"/>
      <c r="B32" s="91" t="s">
        <v>58</v>
      </c>
      <c r="C32" s="92"/>
      <c r="D32" s="93"/>
      <c r="E32" s="27">
        <v>83484186.140000001</v>
      </c>
      <c r="F32" s="23" t="s">
        <v>4</v>
      </c>
      <c r="G32" s="20"/>
      <c r="H32" s="42"/>
      <c r="I32" s="2"/>
    </row>
    <row r="33" spans="1:9" x14ac:dyDescent="0.25">
      <c r="A33" s="2"/>
      <c r="B33" s="98" t="s">
        <v>34</v>
      </c>
      <c r="C33" s="86"/>
      <c r="D33" s="87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1" t="s">
        <v>35</v>
      </c>
      <c r="C34" s="92"/>
      <c r="D34" s="93"/>
      <c r="E34" s="27">
        <v>5506740.4400000004</v>
      </c>
      <c r="F34" s="23" t="s">
        <v>4</v>
      </c>
      <c r="G34" s="16"/>
      <c r="H34" s="44"/>
      <c r="I34" s="2"/>
    </row>
    <row r="35" spans="1:9" x14ac:dyDescent="0.25">
      <c r="A35" s="2"/>
      <c r="B35" s="99" t="s">
        <v>36</v>
      </c>
      <c r="C35" s="100"/>
      <c r="D35" s="101"/>
      <c r="E35" s="18">
        <f>SUM(E32:E34)</f>
        <v>88990926.579999998</v>
      </c>
      <c r="F35" s="38" t="s">
        <v>4</v>
      </c>
      <c r="G35" s="18">
        <f>-E35</f>
        <v>-88990926.579999998</v>
      </c>
      <c r="H35" s="38" t="s">
        <v>4</v>
      </c>
      <c r="I35" s="2"/>
    </row>
    <row r="36" spans="1:9" x14ac:dyDescent="0.25">
      <c r="A36" s="2"/>
      <c r="B36" s="94" t="s">
        <v>97</v>
      </c>
      <c r="C36" s="95"/>
      <c r="D36" s="95"/>
      <c r="E36" s="95"/>
      <c r="F36" s="96"/>
      <c r="G36" s="21">
        <f>$G$9+$G$28+$G$30+$G$35</f>
        <v>15523555.429693341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7" t="s">
        <v>126</v>
      </c>
      <c r="C3" s="97"/>
      <c r="D3" s="97"/>
      <c r="E3" s="97"/>
      <c r="F3" s="97"/>
      <c r="G3" s="97"/>
      <c r="H3" s="2"/>
    </row>
    <row r="4" spans="1:8" ht="15" customHeight="1" x14ac:dyDescent="0.25">
      <c r="A4" s="2"/>
      <c r="B4" s="97"/>
      <c r="C4" s="97"/>
      <c r="D4" s="97"/>
      <c r="E4" s="97"/>
      <c r="F4" s="97"/>
      <c r="G4" s="9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180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88" t="s">
        <v>116</v>
      </c>
      <c r="C9" s="90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122" t="s">
        <v>181</v>
      </c>
      <c r="C10" s="123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133</v>
      </c>
      <c r="C11" s="95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4" t="s">
        <v>145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4" t="s">
        <v>176</v>
      </c>
      <c r="C15" s="95"/>
      <c r="D15" s="95"/>
      <c r="E15" s="95"/>
      <c r="F15" s="95"/>
      <c r="G15" s="96"/>
      <c r="H15" s="2"/>
    </row>
    <row r="16" spans="1:8" ht="15" customHeight="1" x14ac:dyDescent="0.25">
      <c r="A16" s="2"/>
      <c r="B16" s="88" t="s">
        <v>193</v>
      </c>
      <c r="C16" s="89"/>
      <c r="D16" s="89"/>
      <c r="E16" s="90"/>
      <c r="F16" s="120" t="s">
        <v>177</v>
      </c>
      <c r="G16" s="120"/>
      <c r="H16" s="2"/>
    </row>
    <row r="17" spans="1:8" x14ac:dyDescent="0.25">
      <c r="A17" s="2"/>
      <c r="B17" s="98" t="s">
        <v>189</v>
      </c>
      <c r="C17" s="86"/>
      <c r="D17" s="86"/>
      <c r="E17" s="87"/>
      <c r="F17" s="27">
        <v>0</v>
      </c>
      <c r="G17" s="23" t="s">
        <v>4</v>
      </c>
      <c r="H17" s="2"/>
    </row>
    <row r="18" spans="1:8" x14ac:dyDescent="0.25">
      <c r="A18" s="2"/>
      <c r="B18" s="94" t="s">
        <v>178</v>
      </c>
      <c r="C18" s="95"/>
      <c r="D18" s="95"/>
      <c r="E18" s="96"/>
      <c r="F18" s="21">
        <f>SUM(F17:F17)</f>
        <v>0</v>
      </c>
      <c r="G18" s="22" t="s">
        <v>4</v>
      </c>
      <c r="H18" s="2"/>
    </row>
    <row r="19" spans="1:8" x14ac:dyDescent="0.25">
      <c r="A19" s="2"/>
      <c r="B19" s="94" t="s">
        <v>179</v>
      </c>
      <c r="C19" s="95"/>
      <c r="D19" s="95"/>
      <c r="E19" s="96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118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4" t="s">
        <v>117</v>
      </c>
      <c r="C8" s="95"/>
      <c r="D8" s="95"/>
      <c r="E8" s="95"/>
      <c r="F8" s="95"/>
      <c r="G8" s="96"/>
      <c r="H8" s="2"/>
    </row>
    <row r="9" spans="1:8" ht="29.25" customHeight="1" x14ac:dyDescent="0.25">
      <c r="A9" s="2"/>
      <c r="B9" s="45" t="s">
        <v>119</v>
      </c>
      <c r="C9" s="46"/>
      <c r="D9" s="120" t="s">
        <v>47</v>
      </c>
      <c r="E9" s="120"/>
      <c r="F9" s="120" t="s">
        <v>127</v>
      </c>
      <c r="G9" s="120"/>
      <c r="H9" s="2"/>
    </row>
    <row r="10" spans="1:8" x14ac:dyDescent="0.25">
      <c r="A10" s="2"/>
      <c r="B10" s="35" t="s">
        <v>188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4" t="s">
        <v>128</v>
      </c>
      <c r="C11" s="96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4" t="s">
        <v>144</v>
      </c>
      <c r="C12" s="96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109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ht="15" customHeight="1" x14ac:dyDescent="0.25">
      <c r="A9" s="2"/>
      <c r="B9" s="91" t="s">
        <v>60</v>
      </c>
      <c r="C9" s="92"/>
      <c r="D9" s="93"/>
      <c r="E9" s="8">
        <f>'Fane 3. Korrigeret grundlag'!G12</f>
        <v>103304536.52414244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86"/>
      <c r="D10" s="87"/>
      <c r="E10" s="12">
        <f>'Fane 3. Korrigeret grundlag'!G11</f>
        <v>6719518.7055539014</v>
      </c>
      <c r="F10" s="9" t="s">
        <v>4</v>
      </c>
      <c r="G10" s="13"/>
      <c r="H10" s="14"/>
      <c r="I10" s="2"/>
    </row>
    <row r="11" spans="1:9" x14ac:dyDescent="0.25">
      <c r="A11" s="2"/>
      <c r="B11" s="85" t="s">
        <v>121</v>
      </c>
      <c r="C11" s="86"/>
      <c r="D11" s="87"/>
      <c r="E11" s="12">
        <f>'Fane 4. Ikke-påvirkelige omk.'!G22</f>
        <v>2485143.9786305013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191</v>
      </c>
      <c r="C12" s="49"/>
      <c r="D12" s="50"/>
      <c r="E12" s="12">
        <f>'Fane 5. Individuelt eff.krav'!G10</f>
        <v>-1791233.1066168095</v>
      </c>
      <c r="F12" s="9" t="s">
        <v>4</v>
      </c>
      <c r="G12" s="13"/>
      <c r="H12" s="14"/>
      <c r="I12" s="2"/>
    </row>
    <row r="13" spans="1:9" x14ac:dyDescent="0.25">
      <c r="A13" s="2"/>
      <c r="B13" s="91" t="s">
        <v>129</v>
      </c>
      <c r="C13" s="92"/>
      <c r="D13" s="93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91" t="s">
        <v>130</v>
      </c>
      <c r="C14" s="92"/>
      <c r="D14" s="93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1" t="s">
        <v>176</v>
      </c>
      <c r="C15" s="92"/>
      <c r="D15" s="93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91" t="s">
        <v>131</v>
      </c>
      <c r="C16" s="92"/>
      <c r="D16" s="93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91" t="s">
        <v>132</v>
      </c>
      <c r="C17" s="92"/>
      <c r="D17" s="93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5" t="s">
        <v>123</v>
      </c>
      <c r="C19" s="86"/>
      <c r="D19" s="87"/>
      <c r="E19" s="12">
        <f>SUM(E9,E11:E17)*(E18/100)</f>
        <v>1819972.8294327324</v>
      </c>
      <c r="F19" s="9" t="s">
        <v>4</v>
      </c>
      <c r="G19" s="13"/>
      <c r="H19" s="14"/>
      <c r="I19" s="2"/>
    </row>
    <row r="20" spans="1:9" x14ac:dyDescent="0.25">
      <c r="A20" s="2"/>
      <c r="B20" s="98" t="s">
        <v>15</v>
      </c>
      <c r="C20" s="86"/>
      <c r="D20" s="87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8" t="s">
        <v>16</v>
      </c>
      <c r="C21" s="86"/>
      <c r="D21" s="87"/>
      <c r="E21" s="12">
        <f>'Fane 6. Generelt eff.krav'!G17</f>
        <v>1783113.9983473653</v>
      </c>
      <c r="F21" s="9" t="s">
        <v>4</v>
      </c>
      <c r="G21" s="16"/>
      <c r="H21" s="17"/>
      <c r="I21" s="2"/>
    </row>
    <row r="22" spans="1:9" x14ac:dyDescent="0.25">
      <c r="A22" s="2"/>
      <c r="B22" s="99" t="s">
        <v>182</v>
      </c>
      <c r="C22" s="100"/>
      <c r="D22" s="101"/>
      <c r="E22" s="18">
        <f>SUM(E9,E11:E17,E19)-SUM(E20:E21)</f>
        <v>104035306.22724149</v>
      </c>
      <c r="F22" s="19" t="s">
        <v>4</v>
      </c>
      <c r="G22" s="18">
        <f>E22</f>
        <v>104035306.22724149</v>
      </c>
      <c r="H22" s="19" t="s">
        <v>4</v>
      </c>
      <c r="I22" s="2"/>
    </row>
    <row r="23" spans="1:9" x14ac:dyDescent="0.25">
      <c r="A23" s="2"/>
      <c r="B23" s="94" t="s">
        <v>17</v>
      </c>
      <c r="C23" s="95"/>
      <c r="D23" s="95"/>
      <c r="E23" s="95"/>
      <c r="F23" s="95"/>
      <c r="G23" s="95"/>
      <c r="H23" s="96"/>
      <c r="I23" s="2"/>
    </row>
    <row r="24" spans="1:9" x14ac:dyDescent="0.25">
      <c r="A24" s="2"/>
      <c r="B24" s="88" t="s">
        <v>55</v>
      </c>
      <c r="C24" s="89"/>
      <c r="D24" s="90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4" t="s">
        <v>98</v>
      </c>
      <c r="C25" s="95"/>
      <c r="D25" s="95"/>
      <c r="E25" s="95"/>
      <c r="F25" s="95"/>
      <c r="G25" s="95"/>
      <c r="H25" s="96"/>
      <c r="I25" s="2"/>
    </row>
    <row r="26" spans="1:9" x14ac:dyDescent="0.25">
      <c r="A26" s="2"/>
      <c r="B26" s="91" t="s">
        <v>105</v>
      </c>
      <c r="C26" s="92"/>
      <c r="D26" s="93"/>
      <c r="E26" s="12">
        <f>'Fane 9. Korrektion af PL2016'!G11</f>
        <v>3929011.6400000006</v>
      </c>
      <c r="F26" s="9" t="s">
        <v>4</v>
      </c>
      <c r="G26" s="20"/>
      <c r="H26" s="11"/>
      <c r="I26" s="2"/>
    </row>
    <row r="27" spans="1:9" x14ac:dyDescent="0.25">
      <c r="A27" s="2"/>
      <c r="B27" s="91" t="s">
        <v>99</v>
      </c>
      <c r="C27" s="92"/>
      <c r="D27" s="93"/>
      <c r="E27" s="12">
        <f>'Fane 9. Korrektion af PL2016'!G17</f>
        <v>2847417.6399999997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91" t="s">
        <v>100</v>
      </c>
      <c r="C28" s="92"/>
      <c r="D28" s="93"/>
      <c r="E28" s="12">
        <f>'Fane 9. Korrektion af PL2016'!G23</f>
        <v>-29144.059999999998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91" t="s">
        <v>101</v>
      </c>
      <c r="C29" s="92"/>
      <c r="D29" s="93"/>
      <c r="E29" s="12">
        <f>'Fane 9. Korrektion af PL2016'!G29</f>
        <v>-371242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91" t="s">
        <v>102</v>
      </c>
      <c r="C30" s="92"/>
      <c r="D30" s="93"/>
      <c r="E30" s="12">
        <f>'Fane 9. Korrektion af PL2016'!G35</f>
        <v>110084.98999999987</v>
      </c>
      <c r="F30" s="9" t="s">
        <v>4</v>
      </c>
      <c r="G30" s="15"/>
      <c r="H30" s="14"/>
      <c r="I30" s="2"/>
    </row>
    <row r="31" spans="1:9" x14ac:dyDescent="0.25">
      <c r="A31" s="2"/>
      <c r="B31" s="88" t="s">
        <v>103</v>
      </c>
      <c r="C31" s="89"/>
      <c r="D31" s="90"/>
      <c r="E31" s="18">
        <f>SUM(E26:E30)</f>
        <v>6486128.2100000009</v>
      </c>
      <c r="F31" s="19" t="s">
        <v>4</v>
      </c>
      <c r="G31" s="18">
        <f>E31</f>
        <v>6486128.2100000009</v>
      </c>
      <c r="H31" s="19" t="s">
        <v>4</v>
      </c>
      <c r="I31" s="2"/>
    </row>
    <row r="32" spans="1:9" x14ac:dyDescent="0.25">
      <c r="A32" s="2"/>
      <c r="B32" s="94" t="s">
        <v>18</v>
      </c>
      <c r="C32" s="95"/>
      <c r="D32" s="95"/>
      <c r="E32" s="95"/>
      <c r="F32" s="95"/>
      <c r="G32" s="95"/>
      <c r="H32" s="96"/>
      <c r="I32" s="2"/>
    </row>
    <row r="33" spans="1:9" x14ac:dyDescent="0.25">
      <c r="A33" s="2"/>
      <c r="B33" s="88" t="s">
        <v>104</v>
      </c>
      <c r="C33" s="89"/>
      <c r="D33" s="90"/>
      <c r="E33" s="18">
        <f>'Fane 10. Kontrol af PL2016'!G36</f>
        <v>15523555.429693341</v>
      </c>
      <c r="F33" s="19" t="s">
        <v>4</v>
      </c>
      <c r="G33" s="18">
        <f>E33</f>
        <v>15523555.429693341</v>
      </c>
      <c r="H33" s="19" t="s">
        <v>4</v>
      </c>
      <c r="I33" s="2"/>
    </row>
    <row r="34" spans="1:9" x14ac:dyDescent="0.25">
      <c r="A34" s="2"/>
      <c r="B34" s="94" t="s">
        <v>62</v>
      </c>
      <c r="C34" s="95"/>
      <c r="D34" s="95"/>
      <c r="E34" s="95"/>
      <c r="F34" s="96"/>
      <c r="G34" s="21">
        <f>G22+G24+G31+G33</f>
        <v>126044989.86693484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108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106</v>
      </c>
      <c r="C9" s="92"/>
      <c r="D9" s="93"/>
      <c r="E9" s="8">
        <f>'Fane 2.1. Økonomisk ramme 2018'!G22</f>
        <v>104035306.22724149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</f>
        <v>9365744.2811576296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1820617.858976726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1780881.9472321821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182</v>
      </c>
      <c r="C14" s="100"/>
      <c r="D14" s="101"/>
      <c r="E14" s="18">
        <f>$E$9+$E$11-$E$12-$E$13</f>
        <v>104075042.13898602</v>
      </c>
      <c r="F14" s="19" t="s">
        <v>4</v>
      </c>
      <c r="G14" s="18">
        <f>E14</f>
        <v>104075042.13898602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107</v>
      </c>
      <c r="C17" s="95"/>
      <c r="D17" s="95"/>
      <c r="E17" s="95"/>
      <c r="F17" s="96"/>
      <c r="G17" s="21">
        <f>G14+G16</f>
        <v>104075042.13898602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194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195</v>
      </c>
      <c r="C9" s="92"/>
      <c r="D9" s="93"/>
      <c r="E9" s="8">
        <f>'Fane 2.2. Økonomisk ramme 2019'!G14</f>
        <v>104075042.13898602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2018'!E18/100)^2</f>
        <v>9529644.8060778882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1821313.2374322554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1778654.8047650051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182</v>
      </c>
      <c r="C14" s="100"/>
      <c r="D14" s="101"/>
      <c r="E14" s="18">
        <f>$E$9+$E$11-$E$12-$E$13</f>
        <v>104117700.57165328</v>
      </c>
      <c r="F14" s="19" t="s">
        <v>4</v>
      </c>
      <c r="G14" s="18">
        <f>E14</f>
        <v>104117700.57165328</v>
      </c>
      <c r="H14" s="19" t="s">
        <v>4</v>
      </c>
      <c r="I14" s="2"/>
    </row>
    <row r="15" spans="1:9" x14ac:dyDescent="0.25">
      <c r="A15" s="2"/>
      <c r="B15" s="94" t="s">
        <v>17</v>
      </c>
      <c r="C15" s="95"/>
      <c r="D15" s="95"/>
      <c r="E15" s="95"/>
      <c r="F15" s="95"/>
      <c r="G15" s="95"/>
      <c r="H15" s="96"/>
      <c r="I15" s="2"/>
    </row>
    <row r="16" spans="1:9" ht="15" customHeight="1" x14ac:dyDescent="0.25">
      <c r="A16" s="2"/>
      <c r="B16" s="88" t="s">
        <v>55</v>
      </c>
      <c r="C16" s="89"/>
      <c r="D16" s="90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4" t="s">
        <v>196</v>
      </c>
      <c r="C17" s="95"/>
      <c r="D17" s="95"/>
      <c r="E17" s="95"/>
      <c r="F17" s="96"/>
      <c r="G17" s="21">
        <f>G14+G16</f>
        <v>104117700.57165328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197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56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1" t="s">
        <v>198</v>
      </c>
      <c r="C9" s="92"/>
      <c r="D9" s="93"/>
      <c r="E9" s="8">
        <f>'Fane 2.3. Økonomisk ramme 2020'!G14</f>
        <v>104117700.57165328</v>
      </c>
      <c r="F9" s="9" t="s">
        <v>4</v>
      </c>
      <c r="G9" s="10"/>
      <c r="H9" s="11"/>
      <c r="I9" s="2"/>
    </row>
    <row r="10" spans="1:9" x14ac:dyDescent="0.25">
      <c r="A10" s="2"/>
      <c r="B10" s="85" t="s">
        <v>46</v>
      </c>
      <c r="C10" s="102"/>
      <c r="D10" s="103"/>
      <c r="E10" s="12">
        <f>(SUM('Fane 2.1. Økonomisk ramme 2018'!E10:E11,'Fane 2.1. Økonomisk ramme 2018'!E15))*(1+'Fane 2.1. Økonomisk ramme 2018'!E18/100)^3</f>
        <v>9696413.5901842508</v>
      </c>
      <c r="F10" s="9" t="s">
        <v>4</v>
      </c>
      <c r="G10" s="13"/>
      <c r="H10" s="14"/>
      <c r="I10" s="2"/>
    </row>
    <row r="11" spans="1:9" x14ac:dyDescent="0.25">
      <c r="A11" s="2"/>
      <c r="B11" s="98" t="s">
        <v>61</v>
      </c>
      <c r="C11" s="86"/>
      <c r="D11" s="87"/>
      <c r="E11" s="12">
        <f>$E$9*'Fane 2.1. Økonomisk ramme 2018'!E18/100</f>
        <v>1822059.7600039325</v>
      </c>
      <c r="F11" s="9" t="s">
        <v>4</v>
      </c>
      <c r="G11" s="15"/>
      <c r="H11" s="14"/>
      <c r="I11" s="2"/>
    </row>
    <row r="12" spans="1:9" x14ac:dyDescent="0.25">
      <c r="A12" s="2"/>
      <c r="B12" s="98" t="s">
        <v>15</v>
      </c>
      <c r="C12" s="86"/>
      <c r="D12" s="87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58" t="s">
        <v>16</v>
      </c>
      <c r="C13" s="59"/>
      <c r="D13" s="60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1776432.5576967006</v>
      </c>
      <c r="F13" s="9" t="s">
        <v>4</v>
      </c>
      <c r="G13" s="16"/>
      <c r="H13" s="17"/>
      <c r="I13" s="2"/>
    </row>
    <row r="14" spans="1:9" x14ac:dyDescent="0.25">
      <c r="A14" s="2"/>
      <c r="B14" s="99" t="s">
        <v>182</v>
      </c>
      <c r="C14" s="100"/>
      <c r="D14" s="101"/>
      <c r="E14" s="18">
        <f>$E$9+$E$11-$E$12-$E$13</f>
        <v>104163327.77396052</v>
      </c>
      <c r="F14" s="19" t="s">
        <v>4</v>
      </c>
      <c r="G14" s="18">
        <f>E14</f>
        <v>104163327.77396052</v>
      </c>
      <c r="H14" s="19" t="s">
        <v>4</v>
      </c>
      <c r="I14" s="2"/>
    </row>
    <row r="15" spans="1:9" x14ac:dyDescent="0.25">
      <c r="A15" s="2"/>
      <c r="B15" s="94" t="s">
        <v>199</v>
      </c>
      <c r="C15" s="95"/>
      <c r="D15" s="95"/>
      <c r="E15" s="95"/>
      <c r="F15" s="96"/>
      <c r="G15" s="21">
        <f>G14</f>
        <v>104163327.77396052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139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141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110</v>
      </c>
      <c r="C9" s="86"/>
      <c r="D9" s="86"/>
      <c r="E9" s="86"/>
      <c r="F9" s="87"/>
      <c r="G9" s="27">
        <v>28349330.031905983</v>
      </c>
      <c r="H9" s="23" t="s">
        <v>4</v>
      </c>
      <c r="I9" s="2"/>
    </row>
    <row r="10" spans="1:9" x14ac:dyDescent="0.25">
      <c r="A10" s="2"/>
      <c r="B10" s="98" t="s">
        <v>111</v>
      </c>
      <c r="C10" s="86"/>
      <c r="D10" s="86"/>
      <c r="E10" s="86"/>
      <c r="F10" s="87"/>
      <c r="G10" s="27">
        <v>68235687.786682561</v>
      </c>
      <c r="H10" s="23" t="s">
        <v>4</v>
      </c>
      <c r="I10" s="2"/>
    </row>
    <row r="11" spans="1:9" x14ac:dyDescent="0.25">
      <c r="A11" s="2"/>
      <c r="B11" s="98" t="s">
        <v>138</v>
      </c>
      <c r="C11" s="86"/>
      <c r="D11" s="86"/>
      <c r="E11" s="86"/>
      <c r="F11" s="87"/>
      <c r="G11" s="27">
        <v>6719518.7055539014</v>
      </c>
      <c r="H11" s="23" t="s">
        <v>4</v>
      </c>
      <c r="I11" s="2"/>
    </row>
    <row r="12" spans="1:9" ht="17.25" customHeight="1" x14ac:dyDescent="0.25">
      <c r="A12" s="2"/>
      <c r="B12" s="104" t="s">
        <v>143</v>
      </c>
      <c r="C12" s="105"/>
      <c r="D12" s="105"/>
      <c r="E12" s="105"/>
      <c r="F12" s="106"/>
      <c r="G12" s="21">
        <f>SUM(G9:G11)</f>
        <v>103304536.52414244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112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113</v>
      </c>
      <c r="C8" s="95"/>
      <c r="D8" s="95"/>
      <c r="E8" s="95"/>
      <c r="F8" s="95"/>
      <c r="G8" s="95"/>
      <c r="H8" s="96"/>
      <c r="I8" s="2"/>
    </row>
    <row r="9" spans="1:9" ht="51.75" customHeight="1" x14ac:dyDescent="0.25">
      <c r="A9" s="2"/>
      <c r="B9" s="88" t="s">
        <v>115</v>
      </c>
      <c r="C9" s="89"/>
      <c r="D9" s="9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8" t="s">
        <v>165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166</v>
      </c>
      <c r="C11" s="109"/>
      <c r="D11" s="109"/>
      <c r="E11" s="56">
        <v>252407.19399999999</v>
      </c>
      <c r="F11" s="23" t="s">
        <v>4</v>
      </c>
      <c r="G11" s="27">
        <v>267527.09999999998</v>
      </c>
      <c r="H11" s="23" t="s">
        <v>4</v>
      </c>
      <c r="I11" s="2"/>
    </row>
    <row r="12" spans="1:9" x14ac:dyDescent="0.25">
      <c r="A12" s="2"/>
      <c r="B12" s="108" t="s">
        <v>167</v>
      </c>
      <c r="C12" s="109"/>
      <c r="D12" s="109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168</v>
      </c>
      <c r="C13" s="109"/>
      <c r="D13" s="109"/>
      <c r="E13" s="56">
        <v>32398.416399999998</v>
      </c>
      <c r="F13" s="23" t="s">
        <v>4</v>
      </c>
      <c r="G13" s="27">
        <v>49413.54</v>
      </c>
      <c r="H13" s="23" t="s">
        <v>4</v>
      </c>
      <c r="I13" s="2"/>
    </row>
    <row r="14" spans="1:9" x14ac:dyDescent="0.25">
      <c r="A14" s="2"/>
      <c r="B14" s="108" t="s">
        <v>169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170</v>
      </c>
      <c r="C15" s="109"/>
      <c r="D15" s="109"/>
      <c r="E15" s="56">
        <v>1610394.1594</v>
      </c>
      <c r="F15" s="23" t="s">
        <v>4</v>
      </c>
      <c r="G15" s="27">
        <v>1502258</v>
      </c>
      <c r="H15" s="23" t="s">
        <v>4</v>
      </c>
      <c r="I15" s="2"/>
    </row>
    <row r="16" spans="1:9" x14ac:dyDescent="0.25">
      <c r="A16" s="2"/>
      <c r="B16" s="108" t="s">
        <v>171</v>
      </c>
      <c r="C16" s="109"/>
      <c r="D16" s="109"/>
      <c r="E16" s="56">
        <v>4370217.8256000001</v>
      </c>
      <c r="F16" s="23" t="s">
        <v>4</v>
      </c>
      <c r="G16" s="27">
        <v>3717054</v>
      </c>
      <c r="H16" s="23" t="s">
        <v>4</v>
      </c>
      <c r="I16" s="2"/>
    </row>
    <row r="17" spans="1:9" x14ac:dyDescent="0.25">
      <c r="A17" s="2"/>
      <c r="B17" s="108" t="s">
        <v>172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174</v>
      </c>
      <c r="C18" s="112"/>
      <c r="D18" s="113"/>
      <c r="E18" s="56">
        <v>0</v>
      </c>
      <c r="F18" s="23" t="s">
        <v>4</v>
      </c>
      <c r="G18" s="27">
        <v>3304759</v>
      </c>
      <c r="H18" s="23" t="s">
        <v>4</v>
      </c>
      <c r="I18" s="2"/>
    </row>
    <row r="19" spans="1:9" x14ac:dyDescent="0.25">
      <c r="A19" s="2"/>
      <c r="B19" s="111" t="s">
        <v>175</v>
      </c>
      <c r="C19" s="112"/>
      <c r="D19" s="113"/>
      <c r="E19" s="56">
        <v>0</v>
      </c>
      <c r="F19" s="23" t="s">
        <v>4</v>
      </c>
      <c r="G19" s="27">
        <v>236638.9</v>
      </c>
      <c r="H19" s="23" t="s">
        <v>4</v>
      </c>
      <c r="I19" s="2"/>
    </row>
    <row r="20" spans="1:9" ht="28.5" customHeight="1" x14ac:dyDescent="0.25">
      <c r="A20" s="2"/>
      <c r="B20" s="110" t="s">
        <v>173</v>
      </c>
      <c r="C20" s="110"/>
      <c r="D20" s="110"/>
      <c r="E20" s="56">
        <v>369831</v>
      </c>
      <c r="F20" s="23" t="s">
        <v>4</v>
      </c>
      <c r="G20" s="27">
        <v>0</v>
      </c>
      <c r="H20" s="23" t="s">
        <v>4</v>
      </c>
      <c r="I20" s="2"/>
    </row>
    <row r="21" spans="1:9" x14ac:dyDescent="0.25">
      <c r="A21" s="2"/>
      <c r="B21" s="94" t="s">
        <v>134</v>
      </c>
      <c r="C21" s="95"/>
      <c r="D21" s="95"/>
      <c r="E21" s="95"/>
      <c r="F21" s="96"/>
      <c r="G21" s="21">
        <f>SUM(G10:G20)-SUM(E10:E20)</f>
        <v>2442401.944600001</v>
      </c>
      <c r="H21" s="22" t="s">
        <v>4</v>
      </c>
      <c r="I21" s="2"/>
    </row>
    <row r="22" spans="1:9" x14ac:dyDescent="0.25">
      <c r="A22" s="2"/>
      <c r="B22" s="94" t="s">
        <v>135</v>
      </c>
      <c r="C22" s="95"/>
      <c r="D22" s="95"/>
      <c r="E22" s="95"/>
      <c r="F22" s="96"/>
      <c r="G22" s="21">
        <f>G21*(1+'Fane 2.1. Økonomisk ramme 2018'!E18/100)</f>
        <v>2485143.9786305013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20:D20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71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15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98" t="s">
        <v>51</v>
      </c>
      <c r="C9" s="86"/>
      <c r="D9" s="86"/>
      <c r="E9" s="86"/>
      <c r="F9" s="87"/>
      <c r="G9" s="12">
        <f>'Fane 3. Korrigeret grundlag'!G12-'Fane 3. Korrigeret grundlag'!G11+SUM('Fane 2.1. Økonomisk ramme 2018'!E13:E14,'Fane 2.1. Økonomisk ramme 2018'!E16:E17)</f>
        <v>96585017.81858854</v>
      </c>
      <c r="H9" s="23" t="s">
        <v>4</v>
      </c>
      <c r="I9" s="2"/>
    </row>
    <row r="10" spans="1:9" x14ac:dyDescent="0.25">
      <c r="A10" s="2"/>
      <c r="B10" s="51" t="s">
        <v>191</v>
      </c>
      <c r="C10" s="49"/>
      <c r="D10" s="49"/>
      <c r="E10" s="49"/>
      <c r="F10" s="50"/>
      <c r="G10" s="12">
        <v>-1791233.1066168095</v>
      </c>
      <c r="H10" s="23" t="s">
        <v>4</v>
      </c>
      <c r="I10" s="2"/>
    </row>
    <row r="11" spans="1:9" x14ac:dyDescent="0.25">
      <c r="A11" s="2"/>
      <c r="B11" s="98" t="s">
        <v>37</v>
      </c>
      <c r="C11" s="86"/>
      <c r="D11" s="86"/>
      <c r="E11" s="86"/>
      <c r="F11" s="87"/>
      <c r="G11" s="29">
        <v>0</v>
      </c>
      <c r="H11" s="23" t="s">
        <v>38</v>
      </c>
      <c r="I11" s="2"/>
    </row>
    <row r="12" spans="1:9" x14ac:dyDescent="0.25">
      <c r="A12" s="2"/>
      <c r="B12" s="94" t="s">
        <v>15</v>
      </c>
      <c r="C12" s="95"/>
      <c r="D12" s="95"/>
      <c r="E12" s="95"/>
      <c r="F12" s="96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7" t="s">
        <v>72</v>
      </c>
      <c r="C3" s="97"/>
      <c r="D3" s="97"/>
      <c r="E3" s="97"/>
      <c r="F3" s="97"/>
      <c r="G3" s="97"/>
      <c r="H3" s="97"/>
      <c r="I3" s="2"/>
    </row>
    <row r="4" spans="1:9" ht="15" customHeight="1" x14ac:dyDescent="0.25">
      <c r="A4" s="2"/>
      <c r="B4" s="97"/>
      <c r="C4" s="97"/>
      <c r="D4" s="97"/>
      <c r="E4" s="97"/>
      <c r="F4" s="97"/>
      <c r="G4" s="97"/>
      <c r="H4" s="9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4" t="s">
        <v>53</v>
      </c>
      <c r="C8" s="95"/>
      <c r="D8" s="95"/>
      <c r="E8" s="95"/>
      <c r="F8" s="95"/>
      <c r="G8" s="95"/>
      <c r="H8" s="96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2018'!E16))</f>
        <v>28349330.031905983</v>
      </c>
      <c r="H9" s="23" t="s">
        <v>4</v>
      </c>
      <c r="I9" s="2"/>
    </row>
    <row r="10" spans="1:9" x14ac:dyDescent="0.25">
      <c r="A10" s="2"/>
      <c r="B10" s="52" t="s">
        <v>190</v>
      </c>
      <c r="C10" s="53"/>
      <c r="D10" s="53"/>
      <c r="E10" s="53"/>
      <c r="F10" s="54"/>
      <c r="G10" s="12">
        <v>-566986.60063811962</v>
      </c>
      <c r="H10" s="23" t="s">
        <v>4</v>
      </c>
      <c r="I10" s="2"/>
    </row>
    <row r="11" spans="1:9" x14ac:dyDescent="0.25">
      <c r="A11" s="2"/>
      <c r="B11" s="98" t="s">
        <v>16</v>
      </c>
      <c r="C11" s="86"/>
      <c r="D11" s="86"/>
      <c r="E11" s="86"/>
      <c r="F11" s="87"/>
      <c r="G11" s="37">
        <f>2</f>
        <v>2</v>
      </c>
      <c r="H11" s="23" t="s">
        <v>38</v>
      </c>
      <c r="I11" s="2"/>
    </row>
    <row r="12" spans="1:9" x14ac:dyDescent="0.25">
      <c r="A12" s="2"/>
      <c r="B12" s="99" t="s">
        <v>39</v>
      </c>
      <c r="C12" s="100"/>
      <c r="D12" s="100"/>
      <c r="E12" s="100"/>
      <c r="F12" s="101"/>
      <c r="G12" s="18">
        <f>($G$9+$G$10)*(1+'Fane 2.1. Økonomisk ramme 2018'!E18/100)*$G$11/100</f>
        <v>565370.68882630102</v>
      </c>
      <c r="H12" s="38" t="s">
        <v>4</v>
      </c>
      <c r="I12" s="2"/>
    </row>
    <row r="13" spans="1:9" x14ac:dyDescent="0.25">
      <c r="A13" s="2"/>
      <c r="B13" s="98" t="s">
        <v>48</v>
      </c>
      <c r="C13" s="86"/>
      <c r="D13" s="86"/>
      <c r="E13" s="86"/>
      <c r="F13" s="87"/>
      <c r="G13" s="12">
        <f xml:space="preserve"> 'Fane 3. Korrigeret grundlag'!G10+SUM('Fane 2.1. Økonomisk ramme 2018'!E14,'Fane 2.1. Økonomisk ramme 2018'!E17)</f>
        <v>68235687.786682561</v>
      </c>
      <c r="H13" s="23" t="s">
        <v>4</v>
      </c>
      <c r="I13" s="2"/>
    </row>
    <row r="14" spans="1:9" x14ac:dyDescent="0.25">
      <c r="A14" s="2"/>
      <c r="B14" s="51" t="s">
        <v>192</v>
      </c>
      <c r="C14" s="49"/>
      <c r="D14" s="49"/>
      <c r="E14" s="49"/>
      <c r="F14" s="50"/>
      <c r="G14" s="12">
        <v>-619906.91681685043</v>
      </c>
      <c r="H14" s="23" t="s">
        <v>4</v>
      </c>
      <c r="I14" s="2"/>
    </row>
    <row r="15" spans="1:9" x14ac:dyDescent="0.25">
      <c r="A15" s="2"/>
      <c r="B15" s="98" t="s">
        <v>16</v>
      </c>
      <c r="C15" s="86"/>
      <c r="D15" s="86"/>
      <c r="E15" s="86"/>
      <c r="F15" s="87"/>
      <c r="G15" s="30">
        <v>1.77</v>
      </c>
      <c r="H15" s="23" t="s">
        <v>38</v>
      </c>
      <c r="I15" s="2"/>
    </row>
    <row r="16" spans="1:9" x14ac:dyDescent="0.25">
      <c r="A16" s="2"/>
      <c r="B16" s="99" t="s">
        <v>40</v>
      </c>
      <c r="C16" s="100"/>
      <c r="D16" s="100"/>
      <c r="E16" s="100"/>
      <c r="F16" s="101"/>
      <c r="G16" s="18">
        <f>($G$13+$G$14)*(1+'Fane 2.1. Økonomisk ramme 2018'!E18/100)*$G$15/100</f>
        <v>1217743.3095210644</v>
      </c>
      <c r="H16" s="38" t="s">
        <v>4</v>
      </c>
      <c r="I16" s="2"/>
    </row>
    <row r="17" spans="1:9" x14ac:dyDescent="0.25">
      <c r="A17" s="2"/>
      <c r="B17" s="94" t="s">
        <v>52</v>
      </c>
      <c r="C17" s="95"/>
      <c r="D17" s="95"/>
      <c r="E17" s="95"/>
      <c r="F17" s="96"/>
      <c r="G17" s="21">
        <f>G12+G16</f>
        <v>1783113.9983473653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2017-10-13T15:47:02Z</dcterms:modified>
</cp:coreProperties>
</file>