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Denne_projektmappe" defaultThemeVersion="124226"/>
  <bookViews>
    <workbookView xWindow="3105" yWindow="990" windowWidth="12735" windowHeight="11700" tabRatio="746"/>
  </bookViews>
  <sheets>
    <sheet name="1. Forside" sheetId="1" r:id="rId1"/>
    <sheet name="Fane 2.1. Økonomisk ramme 2018" sheetId="2" r:id="rId2"/>
    <sheet name="Fane 2.2. Økonomisk ramme 2019" sheetId="15" r:id="rId3"/>
    <sheet name="Fane 2.3. Økonomisk ramme 2020" sheetId="24" r:id="rId4"/>
    <sheet name="Fane 2.4. Økonomisk ramme 2021" sheetId="25" r:id="rId5"/>
    <sheet name="Fane 3. Korrigeret grundlag" sheetId="7" r:id="rId6"/>
    <sheet name="Fane 4. Ikke-påvirkelige omk." sheetId="19" r:id="rId7"/>
    <sheet name="Fane 5. Individuelt eff.krav" sheetId="8" r:id="rId8"/>
    <sheet name="Fane 6. Generelt eff.krav" sheetId="9" r:id="rId9"/>
    <sheet name="Fane 7. Hist. over el. underdæk" sheetId="10" r:id="rId10"/>
    <sheet name="Fane 8. Gen. inv. i 2016" sheetId="11" r:id="rId11"/>
    <sheet name="Fane 9. Korrektion af PL2016" sheetId="12" r:id="rId12"/>
    <sheet name="Fane 10. Kontrol af PL2016" sheetId="13" r:id="rId13"/>
    <sheet name="Fane 11. Tillæg" sheetId="20" r:id="rId14"/>
    <sheet name="Fane 12. Bortfald" sheetId="21" r:id="rId15"/>
    <sheet name="Fane 13. Driftsunderskud" sheetId="22" r:id="rId16"/>
    <sheet name="Fane 14. Investeringstillæg" sheetId="23" r:id="rId17"/>
  </sheets>
  <calcPr calcId="145621"/>
</workbook>
</file>

<file path=xl/calcChain.xml><?xml version="1.0" encoding="utf-8"?>
<calcChain xmlns="http://schemas.openxmlformats.org/spreadsheetml/2006/main">
  <c r="E15" i="25" l="1"/>
  <c r="G17" i="25"/>
  <c r="G19" i="24"/>
  <c r="G22" i="24" s="1"/>
  <c r="G17" i="24"/>
  <c r="E17" i="24"/>
  <c r="E14" i="25"/>
  <c r="E9" i="24"/>
  <c r="E12" i="24" s="1"/>
  <c r="E14" i="24"/>
  <c r="E10" i="25" l="1"/>
  <c r="E10" i="24"/>
  <c r="E13" i="24" s="1"/>
  <c r="E15" i="24" s="1"/>
  <c r="E21" i="24" l="1"/>
  <c r="G21" i="24" s="1"/>
  <c r="G15" i="24" l="1"/>
  <c r="E14" i="15"/>
  <c r="E9" i="25" l="1"/>
  <c r="E12" i="25" s="1"/>
  <c r="E9" i="15"/>
  <c r="E13" i="25" l="1"/>
  <c r="E12" i="2"/>
  <c r="G15" i="25" l="1"/>
  <c r="G18" i="25" s="1"/>
  <c r="G13" i="9"/>
  <c r="G9" i="9"/>
  <c r="G9" i="8"/>
  <c r="G10" i="23" l="1"/>
  <c r="E19" i="15" s="1"/>
  <c r="G19" i="15" s="1"/>
  <c r="E17" i="15" l="1"/>
  <c r="G17" i="15" s="1"/>
  <c r="E25" i="2"/>
  <c r="G25" i="2" s="1"/>
  <c r="G10" i="22"/>
  <c r="G13" i="10" l="1"/>
  <c r="G11" i="10" l="1"/>
  <c r="F18" i="20"/>
  <c r="F19" i="20" s="1"/>
  <c r="E16" i="2" s="1"/>
  <c r="G22" i="7"/>
  <c r="E13" i="2" s="1"/>
  <c r="F27" i="11" l="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F11" i="21" l="1"/>
  <c r="F12" i="21" s="1"/>
  <c r="D11" i="21"/>
  <c r="D12" i="21" s="1"/>
  <c r="F11" i="20" l="1"/>
  <c r="F12" i="20" s="1"/>
  <c r="E15" i="2" s="1"/>
  <c r="D11" i="20"/>
  <c r="D12" i="20" s="1"/>
  <c r="E14" i="2" s="1"/>
  <c r="E18" i="2"/>
  <c r="E17" i="2"/>
  <c r="G16" i="9" l="1"/>
  <c r="E10" i="2" l="1"/>
  <c r="G18" i="19"/>
  <c r="G19" i="19" s="1"/>
  <c r="E11" i="2" s="1"/>
  <c r="G12" i="7"/>
  <c r="G12" i="8" s="1"/>
  <c r="E10" i="15" l="1"/>
  <c r="E9" i="2"/>
  <c r="E20" i="2" s="1"/>
  <c r="E15" i="13"/>
  <c r="F11" i="11"/>
  <c r="F28" i="11"/>
  <c r="E21" i="15" l="1"/>
  <c r="G21" i="15" s="1"/>
  <c r="G11" i="9" l="1"/>
  <c r="G30" i="13"/>
  <c r="G12" i="9" l="1"/>
  <c r="E35" i="13"/>
  <c r="G35" i="13" s="1"/>
  <c r="E27" i="13"/>
  <c r="E19" i="13"/>
  <c r="G11" i="12"/>
  <c r="E29" i="2" s="1"/>
  <c r="G29" i="12"/>
  <c r="E32" i="2" s="1"/>
  <c r="G23" i="12"/>
  <c r="E31" i="2" s="1"/>
  <c r="G17" i="12"/>
  <c r="E30" i="2" s="1"/>
  <c r="F10" i="11"/>
  <c r="F29" i="11" s="1"/>
  <c r="E27" i="2"/>
  <c r="G27" i="2" s="1"/>
  <c r="G33" i="12" l="1"/>
  <c r="G35" i="12" s="1"/>
  <c r="E33" i="2" s="1"/>
  <c r="E28" i="13"/>
  <c r="G28" i="13" s="1"/>
  <c r="G36" i="13" s="1"/>
  <c r="E36" i="2" s="1"/>
  <c r="G36" i="2" s="1"/>
  <c r="G17" i="9"/>
  <c r="E22" i="2" s="1"/>
  <c r="E34" i="2" l="1"/>
  <c r="G34" i="2" s="1"/>
  <c r="E21" i="2" l="1"/>
  <c r="E23" i="2" s="1"/>
  <c r="G23" i="2" l="1"/>
  <c r="G37" i="2" s="1"/>
  <c r="E13" i="15" l="1"/>
  <c r="E12" i="15"/>
  <c r="E15" i="15" l="1"/>
  <c r="G15" i="15" s="1"/>
  <c r="G22" i="15" s="1"/>
</calcChain>
</file>

<file path=xl/sharedStrings.xml><?xml version="1.0" encoding="utf-8"?>
<sst xmlns="http://schemas.openxmlformats.org/spreadsheetml/2006/main" count="462" uniqueCount="208">
  <si>
    <t>Beskrivelse af investeringen</t>
  </si>
  <si>
    <t>Årstal</t>
  </si>
  <si>
    <t>Std. levetid (år)</t>
  </si>
  <si>
    <t>Afskrivning</t>
  </si>
  <si>
    <t>kr.</t>
  </si>
  <si>
    <t>Bilag A</t>
  </si>
  <si>
    <t>Indholdsfortegnelse</t>
  </si>
  <si>
    <t>Fane 2.1</t>
  </si>
  <si>
    <t>Fane 3</t>
  </si>
  <si>
    <t>Fane 4</t>
  </si>
  <si>
    <t>Fane 5</t>
  </si>
  <si>
    <t>Fane 6</t>
  </si>
  <si>
    <t>Fane 7</t>
  </si>
  <si>
    <t>Fane 8</t>
  </si>
  <si>
    <t>Fane 9</t>
  </si>
  <si>
    <t>Individuelt effektiviseringskrav</t>
  </si>
  <si>
    <t>Generelt effektiviseringskrav</t>
  </si>
  <si>
    <t>Historisk over- eller underdækning</t>
  </si>
  <si>
    <t>Korrektion i forhold til tidligere indtægtsramme</t>
  </si>
  <si>
    <t>Tillæg for historiske investeringer</t>
  </si>
  <si>
    <t>Investeringstillæg i alt</t>
  </si>
  <si>
    <t>Indtægter fra tilslutningsbidrag</t>
  </si>
  <si>
    <t>Indtægter fra salg af anlægsaktiver</t>
  </si>
  <si>
    <t>Erstatninger vedr. anlægsaktiver mv.</t>
  </si>
  <si>
    <t>Indtægter og erstatninger i alt</t>
  </si>
  <si>
    <t>Faktiske betalte afdrag på lån vedrørende tillægsberettigede investeringer</t>
  </si>
  <si>
    <t>Faktiske betalinger uden låneoptagelse vedrørende tillægsberettigede investeringer</t>
  </si>
  <si>
    <t>Faktiske betalinger for igangværende arbejder</t>
  </si>
  <si>
    <t>Faktiske betalinger for køb af grunde</t>
  </si>
  <si>
    <t>Faktiske betalinger til bortskaffelse af aktiver, der er taget ud af drift</t>
  </si>
  <si>
    <t>Faktiske betalinger til reetablering som følge af aktiver, der er taget ud af drift</t>
  </si>
  <si>
    <t>Faktiske betalinger til delvis tilbagebetaling af tilslutningsbidrag</t>
  </si>
  <si>
    <t>Udgifter til investeringer</t>
  </si>
  <si>
    <t>Ikke anvendt likviditet vedrørende investeringer i alt</t>
  </si>
  <si>
    <t>Fordeling af indtægt efter § 6, stk. 2</t>
  </si>
  <si>
    <t>Andre indtægter i prisloftsåret, som selskabet har opnået i forbindelse med eller som følge af selskabets primære aktiviteter</t>
  </si>
  <si>
    <t>Indtægter fra primære aktiviteter mv. i alt</t>
  </si>
  <si>
    <t>Effektiviseringskrav</t>
  </si>
  <si>
    <t>pct.</t>
  </si>
  <si>
    <t>Generelt effektiviseringskrav på drift</t>
  </si>
  <si>
    <t>Generelt effektiviseringskrav på anlæg</t>
  </si>
  <si>
    <t>Tillæg/fradrag i alt</t>
  </si>
  <si>
    <t>Opgjort over- eller underdækning per. 31. december 2010</t>
  </si>
  <si>
    <t>Resterende indregningsperiode (fastsat i prisloftet for 2012)</t>
  </si>
  <si>
    <t>Anskaf-felsespris (kr.)</t>
  </si>
  <si>
    <t>Resterende over- eller underdækning</t>
  </si>
  <si>
    <t>- heraf ikke-påvirkelige omkostninger</t>
  </si>
  <si>
    <t>Driftsomkostninger</t>
  </si>
  <si>
    <t>Anlægsomkostninger inkl. finansielle omkostninger</t>
  </si>
  <si>
    <t>Ikke-påvirkelige omkostninger</t>
  </si>
  <si>
    <t>Beregningen af de enkelte komponenter i grundlaget fremgår af bilag B.</t>
  </si>
  <si>
    <t>Drifts- og anlægsomkostninger inkl. finansielle omkostninger</t>
  </si>
  <si>
    <t>Samlet generelt effektiviseringskrav</t>
  </si>
  <si>
    <t>Generelt effektiviseringskrav på drift og anlæg</t>
  </si>
  <si>
    <t>Tillæg/fradrag for historisk over- eller underdækning til og med 2010</t>
  </si>
  <si>
    <t>Tillæg/fradrag for historisk over- eller underdækning</t>
  </si>
  <si>
    <t>Oversigt over den økonomiske ramme</t>
  </si>
  <si>
    <t>Indtægter fra primære aktiviteter</t>
  </si>
  <si>
    <t>Indtægter fra kubikmetertakster, faste takster, særbidrag, målergebyrer samt andre takster og gebyrer</t>
  </si>
  <si>
    <t>Fane 10</t>
  </si>
  <si>
    <t>Omkostninger i den økonomiske ramme for 2017</t>
  </si>
  <si>
    <t>Prisudvikling</t>
  </si>
  <si>
    <t>Økonomisk ramme for 2018</t>
  </si>
  <si>
    <t>Korrektion af grundlag</t>
  </si>
  <si>
    <t>Bortfald af omkostninger</t>
  </si>
  <si>
    <t>Tillæg</t>
  </si>
  <si>
    <t>Fane 11</t>
  </si>
  <si>
    <t>Fane 12</t>
  </si>
  <si>
    <t>Fane 2.2</t>
  </si>
  <si>
    <t>Samlet økonomisk ramme for 2018</t>
  </si>
  <si>
    <t>Samlet økonomisk ramme for 2019</t>
  </si>
  <si>
    <t>Fane 5: Individuelt effektiviseringskrav</t>
  </si>
  <si>
    <t>Fane 6: Generelt effektiviseringskrav</t>
  </si>
  <si>
    <t>Fane 7: Historisk over- eller underdækning</t>
  </si>
  <si>
    <t>Fane 8: Gennemførte investeringer i 2016</t>
  </si>
  <si>
    <t>Gennemførte investeringer i 2016</t>
  </si>
  <si>
    <t>Faktiske afskrivninger på gennemførte investeringer i 2016</t>
  </si>
  <si>
    <t>Fane 9: Korrektion af budgetterede omkostninger i prisloftet for 2016</t>
  </si>
  <si>
    <t>Selskabets faktiske 1:1 omkostninger mv. i 2016, jf. reguleringsregnskabet</t>
  </si>
  <si>
    <t>Tillæg for budgetterede 1:1 omkostninger mv. i prisloft 2016</t>
  </si>
  <si>
    <t>Selskabets faktiske nettofinansielle poster i 2016, jf. reguleringsregnskabet</t>
  </si>
  <si>
    <t>Tillæg for budgetterede nettofinansielle poster i prisloft 2016</t>
  </si>
  <si>
    <t>Selskabets faktiske omk. til miljø- og servicemål i 2016, jf. reguleringsregnskabet</t>
  </si>
  <si>
    <t>Tillæg for budgetterede omk. til miljø- og servicemål i prisloft 2016</t>
  </si>
  <si>
    <t>Selskabets faktiske omk. til klimatilpasningsprojekter i 2016, jf. reguleringsregnskabet</t>
  </si>
  <si>
    <t>Tillæg for budgetterede omk. til klimatilpasningsprojekter i prisloft 2016</t>
  </si>
  <si>
    <t>Korrektion af tillæg for planlagte investeringer vedr. 2016</t>
  </si>
  <si>
    <t>Selskabets faktiske afskrivninger på gennemførte investeringer i 2016</t>
  </si>
  <si>
    <t>Tillæg for planlagte investeringer i 2016 i prisloft 2016</t>
  </si>
  <si>
    <t>Fane 10: Korrektion for overholdelse af indtægtsrammen i prisloft for 2016</t>
  </si>
  <si>
    <t>Samlet opgørelse vedrørende overholdelse af indtægtsrammen i prisloft for 2016</t>
  </si>
  <si>
    <t>Indtægtsramme i prisloft 2016</t>
  </si>
  <si>
    <t>Ikke anvendt likviditet vedrørende investeringer i 2016</t>
  </si>
  <si>
    <t>Tillæg for gennemførte investeringer i 2010-2014</t>
  </si>
  <si>
    <t>Korrektion af tillæg for planlagte investeringer i 2014</t>
  </si>
  <si>
    <t>Tillæg for planlagte investeringer i 2015 og 2016</t>
  </si>
  <si>
    <t>Korrektion af ikke opkrævet tillæg fra 2014 i prisloft 2016</t>
  </si>
  <si>
    <t>Tillæg/fradrag i den økonomiske ramme for 2018 i alt</t>
  </si>
  <si>
    <t>Korrektion af prisloft 2016</t>
  </si>
  <si>
    <t>Korrektion af faktiske nettofinansielle poster i 2016</t>
  </si>
  <si>
    <t>Korrektion af faktiske driftsomkostninger til miljø- og servicemål i 2016</t>
  </si>
  <si>
    <t>Korrektion af faktiske driftsomkostninger til medfinansiering af klimatilpasningsprojekter i 2016</t>
  </si>
  <si>
    <t>Korrektion af tillæg for planlagte investeringer vedrørende 2016</t>
  </si>
  <si>
    <t>Samlet korrektion af budgetterede omkostninger i 2016</t>
  </si>
  <si>
    <t>Korrektion for overholdelse af indtægtsrammen i prisloft 2016</t>
  </si>
  <si>
    <t>Korrektion af faktiske 1:1 omkostninger i 2016</t>
  </si>
  <si>
    <t>Omkostninger i den økonomiske ramme for 2018</t>
  </si>
  <si>
    <t>Økonomisk ramme for 2019</t>
  </si>
  <si>
    <t>Fane 2.2: Samlet økonomisk ramme for 2019</t>
  </si>
  <si>
    <t>Fane 2.1: Samlet økonomisk ramme for 2018</t>
  </si>
  <si>
    <t>Nyt niveau for driftsomkostninger</t>
  </si>
  <si>
    <t>Nyt niveau for anlægsomkostninger inkl. finansielle omkostninger</t>
  </si>
  <si>
    <t>Fane 4: Korrektion af ikke-påvirkelige omkostninger</t>
  </si>
  <si>
    <t>Korrektion af ikke-påvirkelige omkostninger</t>
  </si>
  <si>
    <t>Beløb i økonomisk ramme for 2017</t>
  </si>
  <si>
    <t>Beskrivelse af ikke-påvirkelige omkostning</t>
  </si>
  <si>
    <t>Beskrivelse af tillæg</t>
  </si>
  <si>
    <t>Bortfald eller nedsættelse</t>
  </si>
  <si>
    <t>Fane 12: Bortfald eller nedsættelse af omkostninger til mål, medfinansiering eller udvidelse</t>
  </si>
  <si>
    <t>Beskrivelse af bortfald eller nedsættelse</t>
  </si>
  <si>
    <t>Heraf beløb indregnet i prislofterne for 2011-2017</t>
  </si>
  <si>
    <t>- korrektion ikke-påvirkelige omkostninger</t>
  </si>
  <si>
    <t>Til økonomisk ramme for 2018 og 2019</t>
  </si>
  <si>
    <t>Prisudvikling i kr.</t>
  </si>
  <si>
    <t>Prisudvikling i pct.</t>
  </si>
  <si>
    <t>år</t>
  </si>
  <si>
    <t>Fane 11: Tillæg</t>
  </si>
  <si>
    <t>Anlægsomkost-ninger</t>
  </si>
  <si>
    <t>Bortfald eller nedsættelse i alt i 2016-niveau</t>
  </si>
  <si>
    <t>Nye tillæg til driftsomkostninger</t>
  </si>
  <si>
    <t>Nye tillæg til anlægsomkostninger</t>
  </si>
  <si>
    <t>Bortfald eller nedsættelse af driftsomkostninger</t>
  </si>
  <si>
    <t>Bortfald eller nedsættelse af anlægsomkostninger</t>
  </si>
  <si>
    <t>Nye tillæg i alt i 2016-niveau</t>
  </si>
  <si>
    <t>Korrektion af ikke-påvirkelige omkostninger i 2016-niveau</t>
  </si>
  <si>
    <t>Korrektion af ikke-påvirkelige omkostninger i 2017-niveau</t>
  </si>
  <si>
    <t>Bemærk desuden, at korrektion af ikke-påvirkelige omkostninger ikke er medtaget i denne opgørelse,</t>
  </si>
  <si>
    <t>men fremgår af fane 4.</t>
  </si>
  <si>
    <t>Ikke-påvirkelige omkostninger (korrektion i henhold til fane 4 er ikke medregnet)</t>
  </si>
  <si>
    <t>Fane 3: Korrigeret grundlag til brug for den økonomiske ramme for 2018 og frem</t>
  </si>
  <si>
    <t>Faktisk beløb i 2016</t>
  </si>
  <si>
    <t>Korrigeret grundlag til brug for den økonomiske ramme for 2018 og frem  (i 2017-niveau)</t>
  </si>
  <si>
    <t>Kontrol af prisloft 2016</t>
  </si>
  <si>
    <t>Korrigeret grundlag (i 2017-niveau)</t>
  </si>
  <si>
    <t>Bortfald eller nedsættelse i alt i 2017-niveau</t>
  </si>
  <si>
    <t>Nye tillæg i alt i 2017-niveau</t>
  </si>
  <si>
    <t>Jordbassin Klasse A</t>
  </si>
  <si>
    <t>Ventilation</t>
  </si>
  <si>
    <t>Vaskemaskine</t>
  </si>
  <si>
    <t>Køretøjer, entreprenørmaskiner</t>
  </si>
  <si>
    <t>Indløb med riste, Konstruktioner</t>
  </si>
  <si>
    <t>Indløb med riste, Mek/EL</t>
  </si>
  <si>
    <t>Indløb med riste, SRO</t>
  </si>
  <si>
    <t>Jordbassin Klasse B</t>
  </si>
  <si>
    <t>Pumpeinstallation Miljøklasse B (100-300 l/s) - SRO</t>
  </si>
  <si>
    <t>Forklaring, Konstruktioner</t>
  </si>
  <si>
    <t>Forklaring, Mek/EL</t>
  </si>
  <si>
    <t>Forklaring, SRO</t>
  </si>
  <si>
    <t>Beluftningstanke, SRO</t>
  </si>
  <si>
    <t>Pumpestationer i underjordiske bygværker (&lt;50 m2), Mek/El</t>
  </si>
  <si>
    <t>Rådnetanke, slam, Konstruktioner</t>
  </si>
  <si>
    <t>Tjenestemandspensioner</t>
  </si>
  <si>
    <t>Ejendomsskatter</t>
  </si>
  <si>
    <t>Selskabsskatter</t>
  </si>
  <si>
    <t>Betalinger til Forsyningssekretariatet</t>
  </si>
  <si>
    <t>Afgift til ledningsført vand</t>
  </si>
  <si>
    <t>Spildevandsafgift</t>
  </si>
  <si>
    <t>Køb af ydelser og produkter</t>
  </si>
  <si>
    <t>Vandsamarbejde</t>
  </si>
  <si>
    <t>Periodevise driftsomkostninger</t>
  </si>
  <si>
    <t>Tidligere godkendt tillæg efter PL-bkg. § 8</t>
  </si>
  <si>
    <t>Nye tillæg godkendt efter ØR-bkg. § 16, stk. 4</t>
  </si>
  <si>
    <t>Periodevise driftsomkostninger i den økonomiske ramme (i 2017-niveau)</t>
  </si>
  <si>
    <t>Nye ikke-påvirkelige omkostninger</t>
  </si>
  <si>
    <t>Omkostninger</t>
  </si>
  <si>
    <t>Nye ikke-påvirkelige omkostninger i alt i 2016-niveau</t>
  </si>
  <si>
    <t>Nye ikke-påvirkelige omkostninger i alt i 2017-niveau</t>
  </si>
  <si>
    <t>Nye påvirkelige tillæg</t>
  </si>
  <si>
    <t>Intet nyt tillæg i år</t>
  </si>
  <si>
    <t>Omkostninger i alt</t>
  </si>
  <si>
    <t>Korrektion af tillæg for 1:1 omkostninger (inkl. revisorerklæringer og ordinært medlemskab af DANVA og Danske Vandværker) i 2016</t>
  </si>
  <si>
    <t>Korrektion af tillæg for 1:1 omkostninger mv. i 2016</t>
  </si>
  <si>
    <t>Korrektion af tillæg for nettofinansielle poster i 2016</t>
  </si>
  <si>
    <t>Korrektion af tillæg for miljø- og servicemål i 2016</t>
  </si>
  <si>
    <t>Korrektion af tillæg til medfinansiering af klimatilpasningsprojekter i 2016</t>
  </si>
  <si>
    <t>Intet bortfald</t>
  </si>
  <si>
    <t>Ingen nye ikke-påvirkelige omkostninger i år</t>
  </si>
  <si>
    <t>Tidligere stillet generelle effektiviseringskrav til driftsomkostninger</t>
  </si>
  <si>
    <t>Tidligere stillet effektiviseringskrav</t>
  </si>
  <si>
    <t>Tidligere stillet generelle effektiviseringskrav til anlægsomkostninger</t>
  </si>
  <si>
    <t>Beskrivelse af ikke-påvirkelig omkostning</t>
  </si>
  <si>
    <t>Driftsunderskud</t>
  </si>
  <si>
    <t>Tillæg til driftsunderskud</t>
  </si>
  <si>
    <t>Fradrag til driftsunderskud</t>
  </si>
  <si>
    <t>Tillæg til dækning af driftsunderskud i 2017 og 2018 med tilbagebetaling i 2019 og 2020</t>
  </si>
  <si>
    <t>Fane 13: Driftsunderskud</t>
  </si>
  <si>
    <t>Fane 13</t>
  </si>
  <si>
    <t>Supplerende investeringstillæg</t>
  </si>
  <si>
    <t>Fane 14: Supplerende investeringstillæg</t>
  </si>
  <si>
    <t>Supplerende investeringstillæg til de økonomiske rammer for 2019</t>
  </si>
  <si>
    <t>Supplerende investeringstillæg i alt</t>
  </si>
  <si>
    <t>Fane 14</t>
  </si>
  <si>
    <t>Fane 2.3: Samlet økonomisk ramme for 2020</t>
  </si>
  <si>
    <t>Omkostninger i den økonomiske ramme for 2019</t>
  </si>
  <si>
    <t>Økonomisk ramme for 2020</t>
  </si>
  <si>
    <t>Fane 2.4: Samlet økonomisk ramme for 2021</t>
  </si>
  <si>
    <t>Omkostninger i den økonomiske ramme for 2020</t>
  </si>
  <si>
    <t>Økonomisk ramme for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</si>
</sst>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 * #,##0.00_ ;_ * \-#,##0.00_ ;_ * &quot;-&quot;??_ ;_ @_ "/>
    <numFmt numFmtId="165" formatCode="0.0"/>
  </numFmts>
  <fonts count="17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rgb="FF650816"/>
      <name val="Calibri"/>
      <family val="2"/>
      <scheme val="minor"/>
    </font>
    <font>
      <b/>
      <sz val="26"/>
      <color rgb="FF650816"/>
      <name val="Calibri"/>
      <family val="2"/>
      <scheme val="minor"/>
    </font>
    <font>
      <sz val="12"/>
      <color rgb="FF650816"/>
      <name val="Calibri"/>
      <family val="2"/>
      <scheme val="minor"/>
    </font>
    <font>
      <i/>
      <sz val="11"/>
      <color rgb="FF650816"/>
      <name val="Calibri"/>
      <family val="2"/>
      <scheme val="minor"/>
    </font>
    <font>
      <b/>
      <sz val="10"/>
      <color theme="0"/>
      <name val="Times New Roman"/>
      <family val="1"/>
    </font>
    <font>
      <sz val="10"/>
      <color theme="1"/>
      <name val="Times New Roman"/>
      <family val="1"/>
    </font>
    <font>
      <sz val="10"/>
      <color theme="1"/>
      <name val="Calibri"/>
      <family val="2"/>
      <scheme val="minor"/>
    </font>
    <font>
      <sz val="10"/>
      <color rgb="FFFF0000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B6DDF3"/>
        <bgColor indexed="64"/>
      </patternFill>
    </fill>
    <fill>
      <patternFill patternType="solid">
        <fgColor rgb="FF650816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9E0B1D"/>
        <bgColor indexed="64"/>
      </patternFill>
    </fill>
    <fill>
      <patternFill patternType="solid">
        <fgColor rgb="FF35B099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BFBFBF"/>
        <bgColor indexed="64"/>
      </patternFill>
    </fill>
    <fill>
      <patternFill patternType="solid">
        <fgColor rgb="FF4C4C4C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21212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5" tint="-0.499984740745262"/>
      </left>
      <right style="thin">
        <color theme="5" tint="-0.499984740745262"/>
      </right>
      <top style="thin">
        <color theme="5" tint="-0.499984740745262"/>
      </top>
      <bottom style="thin">
        <color theme="5" tint="-0.499984740745262"/>
      </bottom>
      <diagonal/>
    </border>
  </borders>
  <cellStyleXfs count="4">
    <xf numFmtId="0" fontId="0" fillId="0" borderId="0"/>
    <xf numFmtId="164" fontId="13" fillId="0" borderId="0" applyFont="0" applyFill="0" applyBorder="0" applyAlignment="0" applyProtection="0"/>
    <xf numFmtId="0" fontId="14" fillId="0" borderId="0" applyNumberFormat="0" applyFill="0" applyBorder="0" applyAlignment="0" applyProtection="0"/>
    <xf numFmtId="0" fontId="16" fillId="0" borderId="0"/>
  </cellStyleXfs>
  <cellXfs count="140">
    <xf numFmtId="0" fontId="0" fillId="0" borderId="0" xfId="0"/>
    <xf numFmtId="3" fontId="8" fillId="11" borderId="11" xfId="1" applyNumberFormat="1" applyFont="1" applyFill="1" applyBorder="1" applyAlignment="1" applyProtection="1">
      <alignment horizontal="right"/>
    </xf>
    <xf numFmtId="0" fontId="0" fillId="2" borderId="0" xfId="0" applyFill="1" applyProtection="1"/>
    <xf numFmtId="0" fontId="0" fillId="0" borderId="0" xfId="0" applyProtection="1"/>
    <xf numFmtId="0" fontId="4" fillId="2" borderId="0" xfId="0" applyFont="1" applyFill="1" applyAlignment="1" applyProtection="1">
      <alignment vertical="center"/>
    </xf>
    <xf numFmtId="0" fontId="5" fillId="2" borderId="0" xfId="0" applyFont="1" applyFill="1" applyAlignment="1" applyProtection="1"/>
    <xf numFmtId="0" fontId="3" fillId="2" borderId="0" xfId="0" applyFont="1" applyFill="1" applyProtection="1"/>
    <xf numFmtId="0" fontId="3" fillId="2" borderId="0" xfId="0" applyFont="1" applyFill="1" applyBorder="1" applyProtection="1"/>
    <xf numFmtId="3" fontId="8" fillId="10" borderId="1" xfId="0" applyNumberFormat="1" applyFont="1" applyFill="1" applyBorder="1" applyAlignment="1" applyProtection="1">
      <alignment wrapText="1"/>
    </xf>
    <xf numFmtId="0" fontId="8" fillId="10" borderId="1" xfId="0" applyFont="1" applyFill="1" applyBorder="1" applyAlignment="1" applyProtection="1">
      <alignment wrapText="1"/>
    </xf>
    <xf numFmtId="0" fontId="8" fillId="10" borderId="4" xfId="0" applyFont="1" applyFill="1" applyBorder="1" applyAlignment="1" applyProtection="1">
      <alignment wrapText="1"/>
    </xf>
    <xf numFmtId="0" fontId="8" fillId="10" borderId="5" xfId="0" applyFont="1" applyFill="1" applyBorder="1" applyAlignment="1" applyProtection="1">
      <alignment wrapText="1"/>
    </xf>
    <xf numFmtId="3" fontId="8" fillId="10" borderId="1" xfId="0" applyNumberFormat="1" applyFont="1" applyFill="1" applyBorder="1" applyProtection="1"/>
    <xf numFmtId="3" fontId="8" fillId="10" borderId="6" xfId="0" applyNumberFormat="1" applyFont="1" applyFill="1" applyBorder="1" applyProtection="1"/>
    <xf numFmtId="0" fontId="8" fillId="10" borderId="7" xfId="0" applyFont="1" applyFill="1" applyBorder="1" applyAlignment="1" applyProtection="1">
      <alignment wrapText="1"/>
    </xf>
    <xf numFmtId="0" fontId="8" fillId="10" borderId="6" xfId="0" applyFont="1" applyFill="1" applyBorder="1" applyProtection="1"/>
    <xf numFmtId="0" fontId="8" fillId="10" borderId="8" xfId="0" applyFont="1" applyFill="1" applyBorder="1" applyProtection="1"/>
    <xf numFmtId="0" fontId="8" fillId="10" borderId="9" xfId="0" applyFont="1" applyFill="1" applyBorder="1" applyAlignment="1" applyProtection="1">
      <alignment wrapText="1"/>
    </xf>
    <xf numFmtId="3" fontId="8" fillId="4" borderId="1" xfId="0" applyNumberFormat="1" applyFont="1" applyFill="1" applyBorder="1" applyProtection="1"/>
    <xf numFmtId="0" fontId="8" fillId="4" borderId="1" xfId="0" applyFont="1" applyFill="1" applyBorder="1" applyAlignment="1" applyProtection="1">
      <alignment wrapText="1"/>
    </xf>
    <xf numFmtId="0" fontId="8" fillId="10" borderId="4" xfId="0" applyFont="1" applyFill="1" applyBorder="1" applyProtection="1"/>
    <xf numFmtId="3" fontId="7" fillId="3" borderId="1" xfId="0" applyNumberFormat="1" applyFont="1" applyFill="1" applyBorder="1" applyProtection="1"/>
    <xf numFmtId="0" fontId="7" fillId="3" borderId="1" xfId="0" applyFont="1" applyFill="1" applyBorder="1" applyProtection="1"/>
    <xf numFmtId="0" fontId="8" fillId="10" borderId="1" xfId="0" applyFont="1" applyFill="1" applyBorder="1" applyProtection="1"/>
    <xf numFmtId="0" fontId="9" fillId="2" borderId="0" xfId="0" applyFont="1" applyFill="1" applyProtection="1"/>
    <xf numFmtId="0" fontId="8" fillId="2" borderId="0" xfId="0" applyFont="1" applyFill="1" applyProtection="1"/>
    <xf numFmtId="3" fontId="8" fillId="4" borderId="1" xfId="0" applyNumberFormat="1" applyFont="1" applyFill="1" applyBorder="1" applyProtection="1">
      <protection locked="0"/>
    </xf>
    <xf numFmtId="3" fontId="8" fillId="10" borderId="1" xfId="0" applyNumberFormat="1" applyFont="1" applyFill="1" applyBorder="1" applyProtection="1">
      <protection locked="0"/>
    </xf>
    <xf numFmtId="1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>
      <protection locked="0"/>
    </xf>
    <xf numFmtId="2" fontId="8" fillId="10" borderId="1" xfId="0" applyNumberFormat="1" applyFont="1" applyFill="1" applyBorder="1" applyProtection="1"/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protection locked="0"/>
    </xf>
    <xf numFmtId="49" fontId="8" fillId="10" borderId="10" xfId="0" applyNumberFormat="1" applyFont="1" applyFill="1" applyBorder="1" applyAlignment="1" applyProtection="1">
      <protection locked="0"/>
    </xf>
    <xf numFmtId="165" fontId="8" fillId="10" borderId="1" xfId="0" applyNumberFormat="1" applyFont="1" applyFill="1" applyBorder="1" applyProtection="1"/>
    <xf numFmtId="0" fontId="8" fillId="4" borderId="1" xfId="0" applyFont="1" applyFill="1" applyBorder="1" applyProtection="1"/>
    <xf numFmtId="0" fontId="11" fillId="4" borderId="1" xfId="0" applyFont="1" applyFill="1" applyBorder="1" applyProtection="1"/>
    <xf numFmtId="0" fontId="8" fillId="4" borderId="1" xfId="0" applyFont="1" applyFill="1" applyBorder="1" applyAlignment="1" applyProtection="1">
      <alignment horizontal="center" wrapText="1"/>
    </xf>
    <xf numFmtId="1" fontId="8" fillId="10" borderId="1" xfId="0" applyNumberFormat="1" applyFont="1" applyFill="1" applyBorder="1" applyProtection="1"/>
    <xf numFmtId="0" fontId="8" fillId="10" borderId="5" xfId="0" applyFont="1" applyFill="1" applyBorder="1" applyProtection="1"/>
    <xf numFmtId="0" fontId="8" fillId="10" borderId="7" xfId="0" applyFont="1" applyFill="1" applyBorder="1" applyProtection="1"/>
    <xf numFmtId="0" fontId="8" fillId="10" borderId="9" xfId="0" applyFont="1" applyFill="1" applyBorder="1" applyProtection="1"/>
    <xf numFmtId="0" fontId="8" fillId="4" borderId="2" xfId="0" applyFont="1" applyFill="1" applyBorder="1" applyAlignment="1" applyProtection="1">
      <alignment wrapText="1"/>
    </xf>
    <xf numFmtId="0" fontId="8" fillId="4" borderId="10" xfId="0" applyFont="1" applyFill="1" applyBorder="1" applyAlignment="1" applyProtection="1">
      <alignment wrapText="1"/>
    </xf>
    <xf numFmtId="49" fontId="8" fillId="10" borderId="2" xfId="0" applyNumberFormat="1" applyFont="1" applyFill="1" applyBorder="1" applyAlignment="1" applyProtection="1">
      <alignment horizontal="left" wrapText="1"/>
      <protection locked="0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3" fontId="8" fillId="10" borderId="1" xfId="0" applyNumberFormat="1" applyFont="1" applyFill="1" applyBorder="1" applyAlignment="1" applyProtection="1">
      <protection locked="0"/>
    </xf>
    <xf numFmtId="3" fontId="8" fillId="10" borderId="1" xfId="1" applyNumberFormat="1" applyFont="1" applyFill="1" applyBorder="1" applyAlignment="1" applyProtection="1">
      <protection locked="0"/>
    </xf>
    <xf numFmtId="3" fontId="11" fillId="4" borderId="1" xfId="0" applyNumberFormat="1" applyFont="1" applyFill="1" applyBorder="1" applyProtection="1"/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0" fillId="2" borderId="0" xfId="0" applyFill="1"/>
    <xf numFmtId="3" fontId="8" fillId="10" borderId="1" xfId="0" applyNumberFormat="1" applyFont="1" applyFill="1" applyBorder="1"/>
    <xf numFmtId="0" fontId="8" fillId="10" borderId="1" xfId="0" applyFont="1" applyFill="1" applyBorder="1"/>
    <xf numFmtId="3" fontId="7" fillId="3" borderId="1" xfId="0" applyNumberFormat="1" applyFont="1" applyFill="1" applyBorder="1"/>
    <xf numFmtId="0" fontId="7" fillId="3" borderId="1" xfId="0" applyFont="1" applyFill="1" applyBorder="1"/>
    <xf numFmtId="0" fontId="0" fillId="10" borderId="0" xfId="0" applyFill="1"/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10" borderId="2" xfId="0" applyFont="1" applyFill="1" applyBorder="1" applyAlignment="1" applyProtection="1">
      <alignment horizontal="left"/>
    </xf>
    <xf numFmtId="0" fontId="8" fillId="10" borderId="2" xfId="0" quotePrefix="1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3" fontId="12" fillId="10" borderId="1" xfId="0" applyNumberFormat="1" applyFont="1" applyFill="1" applyBorder="1" applyProtection="1"/>
    <xf numFmtId="0" fontId="1" fillId="9" borderId="6" xfId="2" applyFont="1" applyFill="1" applyBorder="1" applyAlignment="1" applyProtection="1">
      <alignment horizontal="center"/>
    </xf>
    <xf numFmtId="0" fontId="1" fillId="9" borderId="0" xfId="2" applyFont="1" applyFill="1" applyBorder="1" applyAlignment="1" applyProtection="1">
      <alignment horizontal="center"/>
    </xf>
    <xf numFmtId="0" fontId="1" fillId="9" borderId="7" xfId="2" applyFont="1" applyFill="1" applyBorder="1" applyAlignment="1" applyProtection="1">
      <alignment horizontal="center"/>
    </xf>
    <xf numFmtId="0" fontId="1" fillId="12" borderId="6" xfId="2" applyFont="1" applyFill="1" applyBorder="1" applyAlignment="1" applyProtection="1">
      <alignment horizontal="center"/>
    </xf>
    <xf numFmtId="0" fontId="1" fillId="12" borderId="0" xfId="2" applyFont="1" applyFill="1" applyBorder="1" applyAlignment="1" applyProtection="1">
      <alignment horizontal="center"/>
    </xf>
    <xf numFmtId="0" fontId="1" fillId="12" borderId="7" xfId="2" applyFont="1" applyFill="1" applyBorder="1" applyAlignment="1" applyProtection="1">
      <alignment horizontal="center"/>
    </xf>
    <xf numFmtId="0" fontId="1" fillId="3" borderId="6" xfId="2" applyFont="1" applyFill="1" applyBorder="1" applyAlignment="1" applyProtection="1">
      <alignment horizontal="center"/>
    </xf>
    <xf numFmtId="0" fontId="1" fillId="3" borderId="0" xfId="0" applyFont="1" applyFill="1" applyBorder="1" applyAlignment="1" applyProtection="1">
      <alignment horizontal="center"/>
    </xf>
    <xf numFmtId="0" fontId="1" fillId="3" borderId="7" xfId="0" applyFont="1" applyFill="1" applyBorder="1" applyAlignment="1" applyProtection="1">
      <alignment horizontal="center"/>
    </xf>
    <xf numFmtId="0" fontId="4" fillId="2" borderId="0" xfId="0" applyFont="1" applyFill="1" applyAlignment="1" applyProtection="1">
      <alignment horizontal="center" vertical="center"/>
    </xf>
    <xf numFmtId="0" fontId="15" fillId="8" borderId="6" xfId="2" applyFont="1" applyFill="1" applyBorder="1" applyAlignment="1" applyProtection="1">
      <alignment horizontal="center"/>
    </xf>
    <xf numFmtId="0" fontId="0" fillId="8" borderId="0" xfId="0" applyFill="1" applyBorder="1" applyAlignment="1" applyProtection="1">
      <alignment horizontal="center"/>
    </xf>
    <xf numFmtId="0" fontId="0" fillId="8" borderId="7" xfId="0" applyFill="1" applyBorder="1" applyAlignment="1" applyProtection="1">
      <alignment horizontal="center"/>
    </xf>
    <xf numFmtId="0" fontId="6" fillId="2" borderId="0" xfId="0" applyFont="1" applyFill="1" applyAlignment="1" applyProtection="1">
      <alignment horizontal="center"/>
    </xf>
    <xf numFmtId="0" fontId="5" fillId="2" borderId="0" xfId="0" applyFont="1" applyFill="1" applyAlignment="1" applyProtection="1">
      <alignment horizontal="center"/>
    </xf>
    <xf numFmtId="0" fontId="1" fillId="5" borderId="6" xfId="2" applyFont="1" applyFill="1" applyBorder="1" applyAlignment="1" applyProtection="1">
      <alignment horizontal="center"/>
    </xf>
    <xf numFmtId="0" fontId="1" fillId="5" borderId="0" xfId="2" applyFont="1" applyFill="1" applyBorder="1" applyAlignment="1" applyProtection="1">
      <alignment horizontal="center"/>
    </xf>
    <xf numFmtId="0" fontId="1" fillId="5" borderId="7" xfId="2" applyFont="1" applyFill="1" applyBorder="1" applyAlignment="1" applyProtection="1">
      <alignment horizontal="center"/>
    </xf>
    <xf numFmtId="0" fontId="15" fillId="6" borderId="6" xfId="2" applyFont="1" applyFill="1" applyBorder="1" applyAlignment="1" applyProtection="1">
      <alignment horizontal="center"/>
    </xf>
    <xf numFmtId="0" fontId="0" fillId="6" borderId="0" xfId="0" applyFill="1" applyBorder="1" applyAlignment="1" applyProtection="1">
      <alignment horizontal="center"/>
    </xf>
    <xf numFmtId="0" fontId="0" fillId="6" borderId="7" xfId="0" applyFill="1" applyBorder="1" applyAlignment="1" applyProtection="1">
      <alignment horizontal="center"/>
    </xf>
    <xf numFmtId="0" fontId="15" fillId="7" borderId="6" xfId="2" applyFont="1" applyFill="1" applyBorder="1" applyAlignment="1" applyProtection="1">
      <alignment horizontal="center"/>
    </xf>
    <xf numFmtId="0" fontId="15" fillId="7" borderId="0" xfId="2" applyFont="1" applyFill="1" applyBorder="1" applyAlignment="1" applyProtection="1">
      <alignment horizontal="center"/>
    </xf>
    <xf numFmtId="0" fontId="15" fillId="7" borderId="7" xfId="2" applyFont="1" applyFill="1" applyBorder="1" applyAlignment="1" applyProtection="1">
      <alignment horizontal="center"/>
    </xf>
    <xf numFmtId="0" fontId="2" fillId="2" borderId="0" xfId="0" applyFont="1" applyFill="1" applyAlignment="1" applyProtection="1">
      <alignment horizontal="center" vertical="center"/>
    </xf>
    <xf numFmtId="0" fontId="8" fillId="10" borderId="2" xfId="0" applyFont="1" applyFill="1" applyBorder="1" applyAlignment="1" applyProtection="1">
      <alignment horizontal="left" wrapText="1"/>
    </xf>
    <xf numFmtId="0" fontId="8" fillId="10" borderId="10" xfId="0" applyFont="1" applyFill="1" applyBorder="1" applyAlignment="1" applyProtection="1">
      <alignment horizontal="left" wrapText="1"/>
    </xf>
    <xf numFmtId="0" fontId="8" fillId="10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</xf>
    <xf numFmtId="0" fontId="8" fillId="10" borderId="10" xfId="0" applyFont="1" applyFill="1" applyBorder="1" applyAlignment="1" applyProtection="1">
      <alignment horizontal="left"/>
    </xf>
    <xf numFmtId="0" fontId="8" fillId="10" borderId="3" xfId="0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 wrapText="1"/>
    </xf>
    <xf numFmtId="0" fontId="8" fillId="4" borderId="10" xfId="0" applyFont="1" applyFill="1" applyBorder="1" applyAlignment="1" applyProtection="1">
      <alignment horizontal="left" wrapText="1"/>
    </xf>
    <xf numFmtId="0" fontId="8" fillId="4" borderId="3" xfId="0" applyFont="1" applyFill="1" applyBorder="1" applyAlignment="1" applyProtection="1">
      <alignment horizontal="left" wrapText="1"/>
    </xf>
    <xf numFmtId="0" fontId="8" fillId="10" borderId="2" xfId="0" quotePrefix="1" applyFont="1" applyFill="1" applyBorder="1" applyAlignment="1" applyProtection="1">
      <alignment horizontal="left"/>
    </xf>
    <xf numFmtId="0" fontId="8" fillId="4" borderId="2" xfId="0" applyFont="1" applyFill="1" applyBorder="1" applyAlignment="1" applyProtection="1">
      <alignment horizontal="left"/>
    </xf>
    <xf numFmtId="0" fontId="8" fillId="4" borderId="10" xfId="0" applyFont="1" applyFill="1" applyBorder="1" applyAlignment="1" applyProtection="1">
      <alignment horizontal="left"/>
    </xf>
    <xf numFmtId="0" fontId="8" fillId="4" borderId="3" xfId="0" applyFont="1" applyFill="1" applyBorder="1" applyAlignment="1" applyProtection="1">
      <alignment horizontal="left"/>
    </xf>
    <xf numFmtId="0" fontId="7" fillId="3" borderId="2" xfId="0" applyFont="1" applyFill="1" applyBorder="1" applyAlignment="1" applyProtection="1">
      <alignment horizontal="left"/>
    </xf>
    <xf numFmtId="0" fontId="7" fillId="3" borderId="10" xfId="0" applyFont="1" applyFill="1" applyBorder="1" applyAlignment="1" applyProtection="1">
      <alignment horizontal="left"/>
    </xf>
    <xf numFmtId="0" fontId="7" fillId="3" borderId="3" xfId="0" applyFont="1" applyFill="1" applyBorder="1" applyAlignment="1" applyProtection="1">
      <alignment horizontal="left"/>
    </xf>
    <xf numFmtId="0" fontId="8" fillId="10" borderId="10" xfId="0" quotePrefix="1" applyFont="1" applyFill="1" applyBorder="1" applyAlignment="1" applyProtection="1">
      <alignment horizontal="left"/>
    </xf>
    <xf numFmtId="0" fontId="8" fillId="10" borderId="3" xfId="0" quotePrefix="1" applyFont="1" applyFill="1" applyBorder="1" applyAlignment="1" applyProtection="1">
      <alignment horizontal="left"/>
    </xf>
    <xf numFmtId="0" fontId="2" fillId="2" borderId="0" xfId="0" applyFont="1" applyFill="1" applyAlignment="1" applyProtection="1">
      <alignment horizontal="center" vertical="center" wrapText="1"/>
    </xf>
    <xf numFmtId="0" fontId="7" fillId="3" borderId="2" xfId="0" applyFont="1" applyFill="1" applyBorder="1" applyAlignment="1" applyProtection="1">
      <alignment horizontal="left" wrapText="1"/>
    </xf>
    <xf numFmtId="0" fontId="7" fillId="3" borderId="10" xfId="0" applyFont="1" applyFill="1" applyBorder="1" applyAlignment="1" applyProtection="1">
      <alignment horizontal="left" wrapText="1"/>
    </xf>
    <xf numFmtId="0" fontId="7" fillId="3" borderId="3" xfId="0" applyFont="1" applyFill="1" applyBorder="1" applyAlignment="1" applyProtection="1">
      <alignment horizontal="left" wrapText="1"/>
    </xf>
    <xf numFmtId="0" fontId="8" fillId="10" borderId="2" xfId="0" applyFont="1" applyFill="1" applyBorder="1" applyAlignment="1" applyProtection="1">
      <alignment horizontal="left"/>
      <protection locked="0"/>
    </xf>
    <xf numFmtId="0" fontId="8" fillId="10" borderId="10" xfId="0" applyFont="1" applyFill="1" applyBorder="1" applyAlignment="1" applyProtection="1">
      <alignment horizontal="left"/>
      <protection locked="0"/>
    </xf>
    <xf numFmtId="0" fontId="12" fillId="10" borderId="2" xfId="0" applyFont="1" applyFill="1" applyBorder="1" applyAlignment="1" applyProtection="1">
      <alignment horizontal="left"/>
    </xf>
    <xf numFmtId="0" fontId="10" fillId="10" borderId="10" xfId="0" applyFont="1" applyFill="1" applyBorder="1" applyAlignment="1" applyProtection="1">
      <alignment horizontal="left"/>
    </xf>
    <xf numFmtId="0" fontId="10" fillId="10" borderId="3" xfId="0" applyFont="1" applyFill="1" applyBorder="1" applyAlignment="1" applyProtection="1">
      <alignment horizontal="left"/>
    </xf>
    <xf numFmtId="0" fontId="11" fillId="4" borderId="2" xfId="0" applyFont="1" applyFill="1" applyBorder="1" applyAlignment="1" applyProtection="1">
      <alignment horizontal="left"/>
    </xf>
    <xf numFmtId="0" fontId="11" fillId="4" borderId="10" xfId="0" applyFont="1" applyFill="1" applyBorder="1" applyAlignment="1" applyProtection="1">
      <alignment horizontal="left"/>
    </xf>
    <xf numFmtId="0" fontId="11" fillId="4" borderId="3" xfId="0" applyFont="1" applyFill="1" applyBorder="1" applyAlignment="1" applyProtection="1">
      <alignment horizontal="left"/>
    </xf>
    <xf numFmtId="0" fontId="8" fillId="4" borderId="1" xfId="0" applyFont="1" applyFill="1" applyBorder="1" applyAlignment="1" applyProtection="1">
      <alignment horizontal="center" wrapText="1"/>
    </xf>
    <xf numFmtId="0" fontId="7" fillId="3" borderId="2" xfId="0" quotePrefix="1" applyFont="1" applyFill="1" applyBorder="1" applyAlignment="1" applyProtection="1">
      <alignment horizontal="left"/>
    </xf>
    <xf numFmtId="49" fontId="8" fillId="10" borderId="2" xfId="0" applyNumberFormat="1" applyFont="1" applyFill="1" applyBorder="1" applyAlignment="1" applyProtection="1">
      <alignment horizontal="left"/>
      <protection locked="0"/>
    </xf>
    <xf numFmtId="49" fontId="8" fillId="10" borderId="3" xfId="0" applyNumberFormat="1" applyFont="1" applyFill="1" applyBorder="1" applyAlignment="1" applyProtection="1">
      <alignment horizontal="left"/>
      <protection locked="0"/>
    </xf>
    <xf numFmtId="0" fontId="2" fillId="2" borderId="0" xfId="0" applyFont="1" applyFill="1" applyAlignment="1">
      <alignment horizontal="center" vertical="center"/>
    </xf>
    <xf numFmtId="0" fontId="7" fillId="3" borderId="2" xfId="0" applyFont="1" applyFill="1" applyBorder="1" applyAlignment="1">
      <alignment horizontal="left"/>
    </xf>
    <xf numFmtId="0" fontId="7" fillId="3" borderId="10" xfId="0" applyFont="1" applyFill="1" applyBorder="1" applyAlignment="1">
      <alignment horizontal="left"/>
    </xf>
    <xf numFmtId="0" fontId="7" fillId="3" borderId="3" xfId="0" applyFont="1" applyFill="1" applyBorder="1" applyAlignment="1">
      <alignment horizontal="left"/>
    </xf>
    <xf numFmtId="0" fontId="8" fillId="10" borderId="2" xfId="0" applyFont="1" applyFill="1" applyBorder="1" applyAlignment="1">
      <alignment horizontal="left" wrapText="1"/>
    </xf>
    <xf numFmtId="0" fontId="8" fillId="10" borderId="10" xfId="0" applyFont="1" applyFill="1" applyBorder="1" applyAlignment="1">
      <alignment horizontal="left" wrapText="1"/>
    </xf>
    <xf numFmtId="0" fontId="8" fillId="10" borderId="3" xfId="0" applyFont="1" applyFill="1" applyBorder="1" applyAlignment="1">
      <alignment horizontal="left" wrapText="1"/>
    </xf>
  </cellXfs>
  <cellStyles count="4">
    <cellStyle name="Komma" xfId="1" builtinId="3"/>
    <cellStyle name="Link" xfId="2" builtinId="8"/>
    <cellStyle name="Normal" xfId="0" builtinId="0"/>
    <cellStyle name="Normal 12" xfId="3"/>
  </cellStyles>
  <dxfs count="0"/>
  <tableStyles count="0" defaultTableStyle="TableStyleMedium2" defaultPivotStyle="PivotStyleLight16"/>
  <colors>
    <mruColors>
      <color rgb="FF212121"/>
      <color rgb="FFF2DCDB"/>
      <color rgb="FF650816"/>
      <color rgb="FF4C4C4C"/>
      <color rgb="FFBFBFBF"/>
      <color rgb="FFD9D9D9"/>
      <color rgb="FF35B099"/>
      <color rgb="FF9E0B1D"/>
      <color rgb="FFB6DDF3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Kontortema">
  <a:themeElements>
    <a:clrScheme name="Kont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"/>
  <dimension ref="A1:I32"/>
  <sheetViews>
    <sheetView showGridLines="0" tabSelected="1" view="pageLayout" zoomScaleNormal="100" workbookViewId="0"/>
  </sheetViews>
  <sheetFormatPr defaultColWidth="9.140625" defaultRowHeight="15" x14ac:dyDescent="0.25"/>
  <cols>
    <col min="1" max="4" width="9.140625" style="3"/>
    <col min="5" max="5" width="11.7109375" style="3" customWidth="1"/>
    <col min="6" max="6" width="11.5703125" style="3" customWidth="1"/>
    <col min="7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2"/>
      <c r="C3" s="2"/>
      <c r="D3" s="2"/>
      <c r="E3" s="2"/>
      <c r="F3" s="2"/>
      <c r="G3" s="2"/>
      <c r="H3" s="2"/>
      <c r="I3" s="2"/>
    </row>
    <row r="4" spans="1:9" ht="15" customHeight="1" x14ac:dyDescent="0.25">
      <c r="A4" s="2"/>
      <c r="B4" s="2"/>
      <c r="C4" s="2"/>
      <c r="D4" s="2"/>
      <c r="E4" s="2"/>
      <c r="F4" s="2"/>
      <c r="G4" s="2"/>
      <c r="H4" s="2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ht="15" customHeight="1" x14ac:dyDescent="0.25">
      <c r="A6" s="2"/>
      <c r="B6" s="2"/>
      <c r="C6" s="4"/>
      <c r="D6" s="83" t="s">
        <v>5</v>
      </c>
      <c r="E6" s="83"/>
      <c r="F6" s="83"/>
      <c r="G6" s="83"/>
      <c r="H6" s="4"/>
      <c r="I6" s="2"/>
    </row>
    <row r="7" spans="1:9" ht="15" customHeight="1" x14ac:dyDescent="0.25">
      <c r="A7" s="2"/>
      <c r="B7" s="2"/>
      <c r="C7" s="4"/>
      <c r="D7" s="83"/>
      <c r="E7" s="83"/>
      <c r="F7" s="83"/>
      <c r="G7" s="83"/>
      <c r="H7" s="4"/>
      <c r="I7" s="2"/>
    </row>
    <row r="8" spans="1:9" ht="15.75" x14ac:dyDescent="0.25">
      <c r="A8" s="2"/>
      <c r="B8" s="2"/>
      <c r="C8" s="5"/>
      <c r="D8" s="88" t="s">
        <v>122</v>
      </c>
      <c r="E8" s="88"/>
      <c r="F8" s="88"/>
      <c r="G8" s="88"/>
      <c r="H8" s="5"/>
      <c r="I8" s="2"/>
    </row>
    <row r="9" spans="1:9" x14ac:dyDescent="0.25">
      <c r="A9" s="2"/>
      <c r="B9" s="2"/>
      <c r="C9" s="6"/>
      <c r="D9" s="6"/>
      <c r="E9" s="6"/>
      <c r="F9" s="6"/>
      <c r="G9" s="6"/>
      <c r="H9" s="6"/>
      <c r="I9" s="2"/>
    </row>
    <row r="10" spans="1:9" x14ac:dyDescent="0.25">
      <c r="A10" s="2"/>
      <c r="B10" s="6"/>
      <c r="C10" s="6"/>
      <c r="D10" s="6"/>
      <c r="E10" s="6"/>
      <c r="F10" s="6"/>
      <c r="G10" s="6"/>
      <c r="H10" s="6"/>
      <c r="I10" s="2"/>
    </row>
    <row r="11" spans="1:9" x14ac:dyDescent="0.25">
      <c r="A11" s="2"/>
      <c r="B11" s="6"/>
      <c r="C11" s="6"/>
      <c r="D11" s="87" t="s">
        <v>6</v>
      </c>
      <c r="E11" s="87"/>
      <c r="F11" s="87"/>
      <c r="G11" s="87"/>
      <c r="H11" s="6"/>
      <c r="I11" s="2"/>
    </row>
    <row r="12" spans="1:9" x14ac:dyDescent="0.25">
      <c r="A12" s="2"/>
      <c r="B12" s="2"/>
      <c r="C12" s="2"/>
      <c r="D12" s="2"/>
      <c r="E12" s="2"/>
      <c r="F12" s="2"/>
      <c r="G12" s="2"/>
      <c r="H12" s="2"/>
      <c r="I12" s="2"/>
    </row>
    <row r="13" spans="1:9" x14ac:dyDescent="0.25">
      <c r="A13" s="2"/>
      <c r="B13" s="2"/>
      <c r="C13" s="7" t="s">
        <v>7</v>
      </c>
      <c r="D13" s="80" t="s">
        <v>69</v>
      </c>
      <c r="E13" s="81"/>
      <c r="F13" s="81"/>
      <c r="G13" s="82"/>
      <c r="H13" s="2"/>
      <c r="I13" s="2"/>
    </row>
    <row r="14" spans="1:9" x14ac:dyDescent="0.25">
      <c r="A14" s="2"/>
      <c r="B14" s="2"/>
      <c r="C14" s="7" t="s">
        <v>68</v>
      </c>
      <c r="D14" s="80" t="s">
        <v>70</v>
      </c>
      <c r="E14" s="81"/>
      <c r="F14" s="81"/>
      <c r="G14" s="82"/>
      <c r="H14" s="2"/>
      <c r="I14" s="2"/>
    </row>
    <row r="15" spans="1:9" x14ac:dyDescent="0.25">
      <c r="A15" s="2"/>
      <c r="B15" s="2"/>
      <c r="C15" s="7" t="s">
        <v>8</v>
      </c>
      <c r="D15" s="89" t="s">
        <v>63</v>
      </c>
      <c r="E15" s="90"/>
      <c r="F15" s="90"/>
      <c r="G15" s="91"/>
      <c r="H15" s="2"/>
      <c r="I15" s="2"/>
    </row>
    <row r="16" spans="1:9" x14ac:dyDescent="0.25">
      <c r="A16" s="2"/>
      <c r="B16" s="2"/>
      <c r="C16" s="7" t="s">
        <v>9</v>
      </c>
      <c r="D16" s="89" t="s">
        <v>49</v>
      </c>
      <c r="E16" s="90"/>
      <c r="F16" s="90"/>
      <c r="G16" s="91"/>
      <c r="H16" s="2"/>
      <c r="I16" s="2"/>
    </row>
    <row r="17" spans="1:9" x14ac:dyDescent="0.25">
      <c r="A17" s="2"/>
      <c r="B17" s="2"/>
      <c r="C17" s="7" t="s">
        <v>10</v>
      </c>
      <c r="D17" s="92" t="s">
        <v>15</v>
      </c>
      <c r="E17" s="93"/>
      <c r="F17" s="93"/>
      <c r="G17" s="94"/>
      <c r="H17" s="2"/>
      <c r="I17" s="2"/>
    </row>
    <row r="18" spans="1:9" x14ac:dyDescent="0.25">
      <c r="A18" s="2"/>
      <c r="B18" s="2"/>
      <c r="C18" s="7" t="s">
        <v>11</v>
      </c>
      <c r="D18" s="92" t="s">
        <v>16</v>
      </c>
      <c r="E18" s="93"/>
      <c r="F18" s="93"/>
      <c r="G18" s="94"/>
      <c r="H18" s="2"/>
      <c r="I18" s="2"/>
    </row>
    <row r="19" spans="1:9" x14ac:dyDescent="0.25">
      <c r="A19" s="2"/>
      <c r="B19" s="2"/>
      <c r="C19" s="7" t="s">
        <v>12</v>
      </c>
      <c r="D19" s="95" t="s">
        <v>17</v>
      </c>
      <c r="E19" s="96"/>
      <c r="F19" s="96"/>
      <c r="G19" s="97"/>
      <c r="H19" s="2"/>
      <c r="I19" s="2"/>
    </row>
    <row r="20" spans="1:9" x14ac:dyDescent="0.25">
      <c r="A20" s="2"/>
      <c r="B20" s="2"/>
      <c r="C20" s="7" t="s">
        <v>13</v>
      </c>
      <c r="D20" s="84" t="s">
        <v>75</v>
      </c>
      <c r="E20" s="85"/>
      <c r="F20" s="85"/>
      <c r="G20" s="86"/>
      <c r="H20" s="2"/>
      <c r="I20" s="2"/>
    </row>
    <row r="21" spans="1:9" x14ac:dyDescent="0.25">
      <c r="A21" s="2"/>
      <c r="B21" s="2"/>
      <c r="C21" s="7" t="s">
        <v>14</v>
      </c>
      <c r="D21" s="84" t="s">
        <v>98</v>
      </c>
      <c r="E21" s="85"/>
      <c r="F21" s="85"/>
      <c r="G21" s="86"/>
      <c r="H21" s="2"/>
      <c r="I21" s="2"/>
    </row>
    <row r="22" spans="1:9" x14ac:dyDescent="0.25">
      <c r="A22" s="2"/>
      <c r="B22" s="2"/>
      <c r="C22" s="7" t="s">
        <v>59</v>
      </c>
      <c r="D22" s="74" t="s">
        <v>142</v>
      </c>
      <c r="E22" s="75"/>
      <c r="F22" s="75"/>
      <c r="G22" s="76"/>
      <c r="H22" s="2"/>
      <c r="I22" s="2"/>
    </row>
    <row r="23" spans="1:9" x14ac:dyDescent="0.25">
      <c r="A23" s="2"/>
      <c r="B23" s="2"/>
      <c r="C23" s="7" t="s">
        <v>66</v>
      </c>
      <c r="D23" s="77" t="s">
        <v>65</v>
      </c>
      <c r="E23" s="78"/>
      <c r="F23" s="78"/>
      <c r="G23" s="79"/>
      <c r="H23" s="2"/>
      <c r="I23" s="2"/>
    </row>
    <row r="24" spans="1:9" x14ac:dyDescent="0.25">
      <c r="A24" s="2"/>
      <c r="B24" s="2"/>
      <c r="C24" s="7" t="s">
        <v>67</v>
      </c>
      <c r="D24" s="77" t="s">
        <v>64</v>
      </c>
      <c r="E24" s="78"/>
      <c r="F24" s="78"/>
      <c r="G24" s="79"/>
      <c r="H24" s="2"/>
      <c r="I24" s="2"/>
    </row>
    <row r="25" spans="1:9" x14ac:dyDescent="0.25">
      <c r="A25" s="2"/>
      <c r="B25" s="2"/>
      <c r="C25" s="7" t="s">
        <v>196</v>
      </c>
      <c r="D25" s="77" t="s">
        <v>191</v>
      </c>
      <c r="E25" s="78"/>
      <c r="F25" s="78"/>
      <c r="G25" s="79"/>
      <c r="H25" s="2"/>
      <c r="I25" s="2"/>
    </row>
    <row r="26" spans="1:9" x14ac:dyDescent="0.25">
      <c r="A26" s="2"/>
      <c r="B26" s="2"/>
      <c r="C26" s="7" t="s">
        <v>201</v>
      </c>
      <c r="D26" s="77" t="s">
        <v>197</v>
      </c>
      <c r="E26" s="78"/>
      <c r="F26" s="78"/>
      <c r="G26" s="79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  <row r="28" spans="1:9" x14ac:dyDescent="0.25">
      <c r="A28" s="2"/>
      <c r="B28" s="2"/>
      <c r="C28" s="2"/>
      <c r="D28" s="2"/>
      <c r="E28" s="2"/>
      <c r="F28" s="2"/>
      <c r="G28" s="2"/>
      <c r="H28" s="2"/>
      <c r="I28" s="2"/>
    </row>
    <row r="29" spans="1:9" x14ac:dyDescent="0.25">
      <c r="A29" s="2"/>
      <c r="B29" s="2"/>
      <c r="C29" s="2"/>
      <c r="D29" s="2"/>
      <c r="E29" s="2"/>
      <c r="F29" s="2"/>
      <c r="G29" s="2"/>
      <c r="H29" s="2"/>
      <c r="I29" s="2"/>
    </row>
    <row r="30" spans="1:9" x14ac:dyDescent="0.25">
      <c r="A30" s="2"/>
      <c r="B30" s="2"/>
      <c r="C30" s="2"/>
      <c r="D30" s="2"/>
      <c r="E30" s="2"/>
      <c r="F30" s="2"/>
      <c r="G30" s="2"/>
      <c r="H30" s="2"/>
      <c r="I30" s="2"/>
    </row>
    <row r="31" spans="1:9" x14ac:dyDescent="0.25">
      <c r="A31" s="2"/>
      <c r="B31" s="2"/>
      <c r="C31" s="2"/>
      <c r="D31" s="2"/>
      <c r="E31" s="2"/>
      <c r="F31" s="2"/>
      <c r="G31" s="2"/>
      <c r="H31" s="2"/>
      <c r="I31" s="2"/>
    </row>
    <row r="32" spans="1:9" x14ac:dyDescent="0.25">
      <c r="A32" s="2"/>
      <c r="B32" s="2"/>
      <c r="C32" s="2"/>
      <c r="D32" s="2"/>
      <c r="E32" s="2"/>
      <c r="F32" s="2"/>
      <c r="G32" s="2"/>
      <c r="H32" s="2"/>
      <c r="I32" s="2"/>
    </row>
  </sheetData>
  <sheetProtection password="DFE9" sheet="1" objects="1" scenarios="1"/>
  <mergeCells count="17">
    <mergeCell ref="D6:G7"/>
    <mergeCell ref="D20:G20"/>
    <mergeCell ref="D21:G21"/>
    <mergeCell ref="D11:G11"/>
    <mergeCell ref="D8:G8"/>
    <mergeCell ref="D15:G15"/>
    <mergeCell ref="D16:G16"/>
    <mergeCell ref="D17:G17"/>
    <mergeCell ref="D18:G18"/>
    <mergeCell ref="D19:G19"/>
    <mergeCell ref="D13:G13"/>
    <mergeCell ref="D22:G22"/>
    <mergeCell ref="D23:G23"/>
    <mergeCell ref="D24:G24"/>
    <mergeCell ref="D14:G14"/>
    <mergeCell ref="D26:G26"/>
    <mergeCell ref="D25:G25"/>
  </mergeCells>
  <hyperlinks>
    <hyperlink ref="D14:G14" location="'Fane 2.2. Økonomisk ramme 2019'!A1" display="Samlet økonomisk ramme for 2019"/>
    <hyperlink ref="D15:G15" location="'Fane 3. Korrigeret grundlag'!A1" display="Korrektion af grundlag"/>
    <hyperlink ref="D16:G16" location="'Fane 4. Ikke-påvirkelige omk.'!A1" display="Ikke-påvirkelige omkostninger"/>
    <hyperlink ref="D17:G17" location="'Fane 5. Individuelt eff.krav'!A1" display="Individuelt effektiviseringskrav"/>
    <hyperlink ref="D18:G18" location="'Fane 6. Generelt eff.krav'!A1" display="Generelt effektiviseringskrav"/>
    <hyperlink ref="D19:G19" location="'Fane 7. Hist. over el. underdæk'!A1" display="Historisk over- eller underdækning"/>
    <hyperlink ref="D20:G20" location="'Fane 8. Gen. inv. i 2016'!A1" display="Gennemførte investeringer i 2015"/>
    <hyperlink ref="D21:G21" location="'Fane 9. Korrektion af PL2016'!A1" display="Korrektion af prisloft 2015"/>
    <hyperlink ref="D22:G22" location="'Fane 10. Kontrol af PL2016'!A1" display="Kontrol af prisloft 2015"/>
    <hyperlink ref="D23:G23" location="'Fane 11. Tillæg'!A1" display="Tillæg"/>
    <hyperlink ref="D24:G24" location="'Fane 12. Bortfald'!A1" display="Bortfald af omkostninger"/>
    <hyperlink ref="D13:G13" location="'Fane 2.1. Økonomisk ramme 2018'!A1" display="Samlet økonomisk ramme for 2018"/>
    <hyperlink ref="D25:G25" location="'Fane 13. Driftsunderskud'!A1" display="Driftsunderskud"/>
    <hyperlink ref="D26:G26" location="'Fane 14. Investeringstillæg'!A1" display="Supplerende investeringstillæg"/>
  </hyperlink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9"/>
  <dimension ref="A1:I17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140625" style="3" customWidth="1"/>
    <col min="7" max="7" width="10.28515625" style="3" customWidth="1"/>
    <col min="8" max="8" width="3.140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8" t="s">
        <v>73</v>
      </c>
      <c r="C3" s="98"/>
      <c r="D3" s="98"/>
      <c r="E3" s="98"/>
      <c r="F3" s="98"/>
      <c r="G3" s="98"/>
      <c r="H3" s="98"/>
      <c r="I3" s="2"/>
    </row>
    <row r="4" spans="1:9" ht="15" customHeight="1" x14ac:dyDescent="0.25">
      <c r="A4" s="2"/>
      <c r="B4" s="98"/>
      <c r="C4" s="98"/>
      <c r="D4" s="98"/>
      <c r="E4" s="98"/>
      <c r="F4" s="98"/>
      <c r="G4" s="98"/>
      <c r="H4" s="9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12" t="s">
        <v>54</v>
      </c>
      <c r="C8" s="113"/>
      <c r="D8" s="113"/>
      <c r="E8" s="113"/>
      <c r="F8" s="113"/>
      <c r="G8" s="113"/>
      <c r="H8" s="114"/>
      <c r="I8" s="2"/>
    </row>
    <row r="9" spans="1:9" x14ac:dyDescent="0.25">
      <c r="A9" s="2"/>
      <c r="B9" s="102" t="s">
        <v>42</v>
      </c>
      <c r="C9" s="103"/>
      <c r="D9" s="103"/>
      <c r="E9" s="103"/>
      <c r="F9" s="104"/>
      <c r="G9" s="27">
        <v>-1695648</v>
      </c>
      <c r="H9" s="23" t="s">
        <v>4</v>
      </c>
      <c r="I9" s="2"/>
    </row>
    <row r="10" spans="1:9" x14ac:dyDescent="0.25">
      <c r="A10" s="2"/>
      <c r="B10" s="102" t="s">
        <v>120</v>
      </c>
      <c r="C10" s="103"/>
      <c r="D10" s="103"/>
      <c r="E10" s="103"/>
      <c r="F10" s="104"/>
      <c r="G10" s="27">
        <v>-1073954.5666666667</v>
      </c>
      <c r="H10" s="23" t="s">
        <v>4</v>
      </c>
      <c r="I10" s="2"/>
    </row>
    <row r="11" spans="1:9" x14ac:dyDescent="0.25">
      <c r="A11" s="2"/>
      <c r="B11" s="126" t="s">
        <v>45</v>
      </c>
      <c r="C11" s="127"/>
      <c r="D11" s="127"/>
      <c r="E11" s="127"/>
      <c r="F11" s="128"/>
      <c r="G11" s="57">
        <f>G9-G10</f>
        <v>-621693.43333333335</v>
      </c>
      <c r="H11" s="39" t="s">
        <v>4</v>
      </c>
      <c r="I11" s="2"/>
    </row>
    <row r="12" spans="1:9" x14ac:dyDescent="0.25">
      <c r="A12" s="2"/>
      <c r="B12" s="102" t="s">
        <v>43</v>
      </c>
      <c r="C12" s="103"/>
      <c r="D12" s="103"/>
      <c r="E12" s="103"/>
      <c r="F12" s="104"/>
      <c r="G12" s="27">
        <v>2</v>
      </c>
      <c r="H12" s="23" t="s">
        <v>125</v>
      </c>
      <c r="I12" s="2"/>
    </row>
    <row r="13" spans="1:9" x14ac:dyDescent="0.25">
      <c r="A13" s="2"/>
      <c r="B13" s="112" t="s">
        <v>41</v>
      </c>
      <c r="C13" s="113"/>
      <c r="D13" s="113"/>
      <c r="E13" s="113"/>
      <c r="F13" s="114"/>
      <c r="G13" s="21">
        <f>IF(G12 = 0,0,G11/G12)</f>
        <v>-310846.71666666667</v>
      </c>
      <c r="H13" s="22" t="s">
        <v>4</v>
      </c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  <row r="17" spans="1:9" x14ac:dyDescent="0.25">
      <c r="A17" s="2"/>
      <c r="B17" s="2"/>
      <c r="C17" s="2"/>
      <c r="D17" s="2"/>
      <c r="E17" s="2"/>
      <c r="F17" s="2"/>
      <c r="G17" s="2"/>
      <c r="H17" s="2"/>
      <c r="I17" s="2"/>
    </row>
  </sheetData>
  <sheetProtection password="DFE9" sheet="1" objects="1" scenarios="1"/>
  <mergeCells count="7">
    <mergeCell ref="B3:H4"/>
    <mergeCell ref="B8:H8"/>
    <mergeCell ref="B13:F13"/>
    <mergeCell ref="B12:F12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0"/>
  <dimension ref="A1:H33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8.28515625" style="3" customWidth="1"/>
    <col min="5" max="6" width="10.7109375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8" t="s">
        <v>74</v>
      </c>
      <c r="C3" s="98"/>
      <c r="D3" s="98"/>
      <c r="E3" s="98"/>
      <c r="F3" s="98"/>
      <c r="G3" s="98"/>
      <c r="H3" s="2"/>
    </row>
    <row r="4" spans="1:8" ht="15" customHeight="1" x14ac:dyDescent="0.25">
      <c r="A4" s="2"/>
      <c r="B4" s="98"/>
      <c r="C4" s="98"/>
      <c r="D4" s="98"/>
      <c r="E4" s="98"/>
      <c r="F4" s="98"/>
      <c r="G4" s="98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112" t="s">
        <v>75</v>
      </c>
      <c r="C8" s="113"/>
      <c r="D8" s="113"/>
      <c r="E8" s="113"/>
      <c r="F8" s="113"/>
      <c r="G8" s="114"/>
      <c r="H8" s="2"/>
    </row>
    <row r="9" spans="1:8" ht="39" customHeight="1" x14ac:dyDescent="0.25">
      <c r="A9" s="2"/>
      <c r="B9" s="40" t="s">
        <v>0</v>
      </c>
      <c r="C9" s="19" t="s">
        <v>1</v>
      </c>
      <c r="D9" s="40" t="s">
        <v>2</v>
      </c>
      <c r="E9" s="40" t="s">
        <v>44</v>
      </c>
      <c r="F9" s="129" t="s">
        <v>3</v>
      </c>
      <c r="G9" s="129"/>
      <c r="H9" s="2"/>
    </row>
    <row r="10" spans="1:8" x14ac:dyDescent="0.25">
      <c r="A10" s="2"/>
      <c r="B10" s="47" t="s">
        <v>146</v>
      </c>
      <c r="C10" s="41">
        <v>2016</v>
      </c>
      <c r="D10" s="28">
        <v>50</v>
      </c>
      <c r="E10" s="27">
        <v>1124713</v>
      </c>
      <c r="F10" s="12">
        <f>E10/D10</f>
        <v>22494.26</v>
      </c>
      <c r="G10" s="23" t="s">
        <v>4</v>
      </c>
      <c r="H10" s="2"/>
    </row>
    <row r="11" spans="1:8" x14ac:dyDescent="0.25">
      <c r="A11" s="2"/>
      <c r="B11" s="47" t="s">
        <v>147</v>
      </c>
      <c r="C11" s="41">
        <v>2016</v>
      </c>
      <c r="D11" s="28">
        <v>10</v>
      </c>
      <c r="E11" s="27">
        <v>55626</v>
      </c>
      <c r="F11" s="12">
        <f t="shared" ref="F11:F28" si="0">E11/D11</f>
        <v>5562.6</v>
      </c>
      <c r="G11" s="23" t="s">
        <v>4</v>
      </c>
      <c r="H11" s="2"/>
    </row>
    <row r="12" spans="1:8" x14ac:dyDescent="0.25">
      <c r="A12" s="2"/>
      <c r="B12" s="47" t="s">
        <v>148</v>
      </c>
      <c r="C12" s="41">
        <v>2016</v>
      </c>
      <c r="D12" s="28">
        <v>10</v>
      </c>
      <c r="E12" s="27">
        <v>16300</v>
      </c>
      <c r="F12" s="12">
        <f t="shared" si="0"/>
        <v>1630</v>
      </c>
      <c r="G12" s="23" t="s">
        <v>4</v>
      </c>
      <c r="H12" s="2"/>
    </row>
    <row r="13" spans="1:8" x14ac:dyDescent="0.25">
      <c r="A13" s="2"/>
      <c r="B13" s="47" t="s">
        <v>149</v>
      </c>
      <c r="C13" s="41">
        <v>2016</v>
      </c>
      <c r="D13" s="28">
        <v>5</v>
      </c>
      <c r="E13" s="27">
        <v>35000</v>
      </c>
      <c r="F13" s="12">
        <f t="shared" si="0"/>
        <v>7000</v>
      </c>
      <c r="G13" s="23" t="s">
        <v>4</v>
      </c>
      <c r="H13" s="2"/>
    </row>
    <row r="14" spans="1:8" x14ac:dyDescent="0.25">
      <c r="A14" s="2"/>
      <c r="B14" s="47" t="s">
        <v>150</v>
      </c>
      <c r="C14" s="41">
        <v>2016</v>
      </c>
      <c r="D14" s="28">
        <v>60</v>
      </c>
      <c r="E14" s="27">
        <v>134103</v>
      </c>
      <c r="F14" s="12">
        <f t="shared" si="0"/>
        <v>2235.0500000000002</v>
      </c>
      <c r="G14" s="23" t="s">
        <v>4</v>
      </c>
      <c r="H14" s="2"/>
    </row>
    <row r="15" spans="1:8" x14ac:dyDescent="0.25">
      <c r="A15" s="2"/>
      <c r="B15" s="47" t="s">
        <v>151</v>
      </c>
      <c r="C15" s="41">
        <v>2016</v>
      </c>
      <c r="D15" s="28">
        <v>20</v>
      </c>
      <c r="E15" s="27">
        <v>720649</v>
      </c>
      <c r="F15" s="12">
        <f t="shared" si="0"/>
        <v>36032.449999999997</v>
      </c>
      <c r="G15" s="23" t="s">
        <v>4</v>
      </c>
      <c r="H15" s="2"/>
    </row>
    <row r="16" spans="1:8" x14ac:dyDescent="0.25">
      <c r="A16" s="2"/>
      <c r="B16" s="47" t="s">
        <v>152</v>
      </c>
      <c r="C16" s="41">
        <v>2016</v>
      </c>
      <c r="D16" s="28">
        <v>10</v>
      </c>
      <c r="E16" s="27">
        <v>1586310</v>
      </c>
      <c r="F16" s="12">
        <f t="shared" si="0"/>
        <v>158631</v>
      </c>
      <c r="G16" s="23" t="s">
        <v>4</v>
      </c>
      <c r="H16" s="2"/>
    </row>
    <row r="17" spans="1:8" x14ac:dyDescent="0.25">
      <c r="A17" s="2"/>
      <c r="B17" s="47" t="s">
        <v>153</v>
      </c>
      <c r="C17" s="41">
        <v>2016</v>
      </c>
      <c r="D17" s="28">
        <v>50</v>
      </c>
      <c r="E17" s="27">
        <v>482020</v>
      </c>
      <c r="F17" s="12">
        <f t="shared" si="0"/>
        <v>9640.4</v>
      </c>
      <c r="G17" s="23" t="s">
        <v>4</v>
      </c>
      <c r="H17" s="2"/>
    </row>
    <row r="18" spans="1:8" ht="26.25" x14ac:dyDescent="0.25">
      <c r="A18" s="2"/>
      <c r="B18" s="47" t="s">
        <v>154</v>
      </c>
      <c r="C18" s="41">
        <v>2016</v>
      </c>
      <c r="D18" s="28">
        <v>10</v>
      </c>
      <c r="E18" s="27">
        <v>1263093</v>
      </c>
      <c r="F18" s="12">
        <f t="shared" si="0"/>
        <v>126309.3</v>
      </c>
      <c r="G18" s="23" t="s">
        <v>4</v>
      </c>
      <c r="H18" s="2"/>
    </row>
    <row r="19" spans="1:8" x14ac:dyDescent="0.25">
      <c r="A19" s="2"/>
      <c r="B19" s="47" t="s">
        <v>155</v>
      </c>
      <c r="C19" s="41">
        <v>2016</v>
      </c>
      <c r="D19" s="28">
        <v>60</v>
      </c>
      <c r="E19" s="27">
        <v>103268</v>
      </c>
      <c r="F19" s="12">
        <f t="shared" si="0"/>
        <v>1721.1333333333334</v>
      </c>
      <c r="G19" s="23" t="s">
        <v>4</v>
      </c>
      <c r="H19" s="2"/>
    </row>
    <row r="20" spans="1:8" x14ac:dyDescent="0.25">
      <c r="A20" s="2"/>
      <c r="B20" s="47" t="s">
        <v>156</v>
      </c>
      <c r="C20" s="41">
        <v>2016</v>
      </c>
      <c r="D20" s="28">
        <v>20</v>
      </c>
      <c r="E20" s="27">
        <v>22630</v>
      </c>
      <c r="F20" s="12">
        <f t="shared" si="0"/>
        <v>1131.5</v>
      </c>
      <c r="G20" s="23" t="s">
        <v>4</v>
      </c>
      <c r="H20" s="2"/>
    </row>
    <row r="21" spans="1:8" x14ac:dyDescent="0.25">
      <c r="A21" s="2"/>
      <c r="B21" s="47" t="s">
        <v>157</v>
      </c>
      <c r="C21" s="41">
        <v>2016</v>
      </c>
      <c r="D21" s="28">
        <v>10</v>
      </c>
      <c r="E21" s="27">
        <v>648398</v>
      </c>
      <c r="F21" s="12">
        <f t="shared" si="0"/>
        <v>64839.8</v>
      </c>
      <c r="G21" s="23" t="s">
        <v>4</v>
      </c>
      <c r="H21" s="2"/>
    </row>
    <row r="22" spans="1:8" x14ac:dyDescent="0.25">
      <c r="A22" s="2"/>
      <c r="B22" s="47" t="s">
        <v>158</v>
      </c>
      <c r="C22" s="41">
        <v>2016</v>
      </c>
      <c r="D22" s="28">
        <v>10</v>
      </c>
      <c r="E22" s="27">
        <v>24605</v>
      </c>
      <c r="F22" s="12">
        <f t="shared" si="0"/>
        <v>2460.5</v>
      </c>
      <c r="G22" s="23" t="s">
        <v>4</v>
      </c>
      <c r="H22" s="2"/>
    </row>
    <row r="23" spans="1:8" x14ac:dyDescent="0.25">
      <c r="A23" s="2"/>
      <c r="B23" s="47" t="s">
        <v>151</v>
      </c>
      <c r="C23" s="41">
        <v>2016</v>
      </c>
      <c r="D23" s="28">
        <v>20</v>
      </c>
      <c r="E23" s="27">
        <v>12134</v>
      </c>
      <c r="F23" s="12">
        <f t="shared" si="0"/>
        <v>606.70000000000005</v>
      </c>
      <c r="G23" s="23" t="s">
        <v>4</v>
      </c>
      <c r="H23" s="2"/>
    </row>
    <row r="24" spans="1:8" ht="26.25" x14ac:dyDescent="0.25">
      <c r="A24" s="2"/>
      <c r="B24" s="47" t="s">
        <v>159</v>
      </c>
      <c r="C24" s="41">
        <v>2016</v>
      </c>
      <c r="D24" s="28">
        <v>20</v>
      </c>
      <c r="E24" s="27">
        <v>22586</v>
      </c>
      <c r="F24" s="12">
        <f t="shared" si="0"/>
        <v>1129.3</v>
      </c>
      <c r="G24" s="23" t="s">
        <v>4</v>
      </c>
      <c r="H24" s="2"/>
    </row>
    <row r="25" spans="1:8" x14ac:dyDescent="0.25">
      <c r="A25" s="2"/>
      <c r="B25" s="47" t="s">
        <v>160</v>
      </c>
      <c r="C25" s="41">
        <v>2016</v>
      </c>
      <c r="D25" s="28">
        <v>60</v>
      </c>
      <c r="E25" s="27">
        <v>14193</v>
      </c>
      <c r="F25" s="12">
        <f t="shared" si="0"/>
        <v>236.55</v>
      </c>
      <c r="G25" s="23" t="s">
        <v>4</v>
      </c>
      <c r="H25" s="2"/>
    </row>
    <row r="26" spans="1:8" x14ac:dyDescent="0.25">
      <c r="A26" s="2"/>
      <c r="B26" s="47" t="s">
        <v>160</v>
      </c>
      <c r="C26" s="41">
        <v>2016</v>
      </c>
      <c r="D26" s="28">
        <v>60</v>
      </c>
      <c r="E26" s="27">
        <v>15850</v>
      </c>
      <c r="F26" s="12">
        <f t="shared" si="0"/>
        <v>264.16666666666669</v>
      </c>
      <c r="G26" s="23" t="s">
        <v>4</v>
      </c>
      <c r="H26" s="2"/>
    </row>
    <row r="27" spans="1:8" x14ac:dyDescent="0.25">
      <c r="A27" s="2"/>
      <c r="B27" s="47" t="s">
        <v>151</v>
      </c>
      <c r="C27" s="41">
        <v>2016</v>
      </c>
      <c r="D27" s="28">
        <v>20</v>
      </c>
      <c r="E27" s="27">
        <v>124966</v>
      </c>
      <c r="F27" s="12">
        <f t="shared" si="0"/>
        <v>6248.3</v>
      </c>
      <c r="G27" s="23" t="s">
        <v>4</v>
      </c>
      <c r="H27" s="2"/>
    </row>
    <row r="28" spans="1:8" x14ac:dyDescent="0.25">
      <c r="A28" s="2"/>
      <c r="B28" s="47" t="s">
        <v>149</v>
      </c>
      <c r="C28" s="41">
        <v>2016</v>
      </c>
      <c r="D28" s="28">
        <v>5</v>
      </c>
      <c r="E28" s="27">
        <v>34108</v>
      </c>
      <c r="F28" s="12">
        <f t="shared" si="0"/>
        <v>6821.6</v>
      </c>
      <c r="G28" s="23" t="s">
        <v>4</v>
      </c>
      <c r="H28" s="2"/>
    </row>
    <row r="29" spans="1:8" x14ac:dyDescent="0.25">
      <c r="A29" s="2"/>
      <c r="B29" s="112" t="s">
        <v>76</v>
      </c>
      <c r="C29" s="113"/>
      <c r="D29" s="113"/>
      <c r="E29" s="114"/>
      <c r="F29" s="21">
        <f>SUM(F10:F28)</f>
        <v>454994.61</v>
      </c>
      <c r="G29" s="22" t="s">
        <v>4</v>
      </c>
      <c r="H29" s="2"/>
    </row>
    <row r="30" spans="1:8" x14ac:dyDescent="0.25">
      <c r="A30" s="2"/>
      <c r="B30" s="2"/>
      <c r="C30" s="2"/>
      <c r="D30" s="2"/>
      <c r="E30" s="2"/>
      <c r="F30" s="2"/>
      <c r="G30" s="2"/>
      <c r="H30" s="2"/>
    </row>
    <row r="31" spans="1:8" x14ac:dyDescent="0.25">
      <c r="A31" s="2"/>
      <c r="B31" s="2"/>
      <c r="C31" s="2"/>
      <c r="D31" s="2"/>
      <c r="E31" s="2"/>
      <c r="F31" s="2"/>
      <c r="G31" s="2"/>
      <c r="H31" s="2"/>
    </row>
    <row r="32" spans="1:8" x14ac:dyDescent="0.25">
      <c r="A32" s="2"/>
      <c r="B32" s="2"/>
      <c r="C32" s="2"/>
      <c r="D32" s="2"/>
      <c r="E32" s="2"/>
      <c r="F32" s="2"/>
      <c r="G32" s="2"/>
      <c r="H32" s="2"/>
    </row>
    <row r="33" spans="1:8" x14ac:dyDescent="0.25">
      <c r="A33" s="2"/>
      <c r="B33" s="2"/>
      <c r="C33" s="2"/>
      <c r="D33" s="2"/>
      <c r="E33" s="2"/>
      <c r="F33" s="2"/>
      <c r="G33" s="2"/>
      <c r="H33" s="2"/>
    </row>
  </sheetData>
  <sheetProtection password="DFE9" sheet="1" objects="1" scenarios="1"/>
  <mergeCells count="4">
    <mergeCell ref="B29:E29"/>
    <mergeCell ref="B8:G8"/>
    <mergeCell ref="B3:G4"/>
    <mergeCell ref="F9:G9"/>
  </mergeCells>
  <pageMargins left="0.7" right="0.7" top="0.75" bottom="0.75" header="0.3" footer="0.3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1"/>
  <dimension ref="A1:I44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4" width="9.140625" style="3"/>
    <col min="5" max="5" width="14.42578125" style="3" customWidth="1"/>
    <col min="6" max="6" width="14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30" customHeight="1" x14ac:dyDescent="0.25">
      <c r="A3" s="2"/>
      <c r="B3" s="117" t="s">
        <v>77</v>
      </c>
      <c r="C3" s="117"/>
      <c r="D3" s="117"/>
      <c r="E3" s="117"/>
      <c r="F3" s="117"/>
      <c r="G3" s="117"/>
      <c r="H3" s="117"/>
      <c r="I3" s="2"/>
    </row>
    <row r="4" spans="1:9" ht="15" customHeight="1" x14ac:dyDescent="0.25">
      <c r="A4" s="2"/>
      <c r="B4" s="117"/>
      <c r="C4" s="117"/>
      <c r="D4" s="117"/>
      <c r="E4" s="117"/>
      <c r="F4" s="117"/>
      <c r="G4" s="117"/>
      <c r="H4" s="11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ht="30" customHeight="1" x14ac:dyDescent="0.25">
      <c r="A8" s="2"/>
      <c r="B8" s="118" t="s">
        <v>180</v>
      </c>
      <c r="C8" s="119"/>
      <c r="D8" s="119"/>
      <c r="E8" s="119"/>
      <c r="F8" s="119"/>
      <c r="G8" s="119"/>
      <c r="H8" s="120"/>
      <c r="I8" s="2"/>
    </row>
    <row r="9" spans="1:9" x14ac:dyDescent="0.25">
      <c r="A9" s="2"/>
      <c r="B9" s="102" t="s">
        <v>78</v>
      </c>
      <c r="C9" s="103"/>
      <c r="D9" s="103"/>
      <c r="E9" s="103"/>
      <c r="F9" s="104"/>
      <c r="G9" s="27">
        <v>3136245</v>
      </c>
      <c r="H9" s="23" t="s">
        <v>4</v>
      </c>
      <c r="I9" s="2"/>
    </row>
    <row r="10" spans="1:9" x14ac:dyDescent="0.25">
      <c r="A10" s="2"/>
      <c r="B10" s="102" t="s">
        <v>79</v>
      </c>
      <c r="C10" s="103"/>
      <c r="D10" s="103"/>
      <c r="E10" s="103"/>
      <c r="F10" s="104"/>
      <c r="G10" s="27">
        <v>3621800</v>
      </c>
      <c r="H10" s="23" t="s">
        <v>4</v>
      </c>
      <c r="I10" s="2"/>
    </row>
    <row r="11" spans="1:9" x14ac:dyDescent="0.25">
      <c r="A11" s="2"/>
      <c r="B11" s="112" t="s">
        <v>181</v>
      </c>
      <c r="C11" s="113"/>
      <c r="D11" s="113"/>
      <c r="E11" s="113"/>
      <c r="F11" s="114"/>
      <c r="G11" s="21">
        <f>G9-G10</f>
        <v>-485555</v>
      </c>
      <c r="H11" s="22" t="s">
        <v>4</v>
      </c>
      <c r="I11" s="2"/>
    </row>
    <row r="12" spans="1:9" x14ac:dyDescent="0.25">
      <c r="A12" s="2"/>
      <c r="B12" s="24"/>
      <c r="C12" s="24"/>
      <c r="D12" s="24"/>
      <c r="E12" s="24"/>
      <c r="F12" s="24"/>
      <c r="G12" s="24"/>
      <c r="H12" s="24"/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118" t="s">
        <v>182</v>
      </c>
      <c r="C14" s="119"/>
      <c r="D14" s="119"/>
      <c r="E14" s="119"/>
      <c r="F14" s="119"/>
      <c r="G14" s="119"/>
      <c r="H14" s="120"/>
      <c r="I14" s="2"/>
    </row>
    <row r="15" spans="1:9" x14ac:dyDescent="0.25">
      <c r="A15" s="2"/>
      <c r="B15" s="102" t="s">
        <v>80</v>
      </c>
      <c r="C15" s="103"/>
      <c r="D15" s="103"/>
      <c r="E15" s="103"/>
      <c r="F15" s="104"/>
      <c r="G15" s="27">
        <v>-58067</v>
      </c>
      <c r="H15" s="23" t="s">
        <v>4</v>
      </c>
      <c r="I15" s="2"/>
    </row>
    <row r="16" spans="1:9" x14ac:dyDescent="0.25">
      <c r="A16" s="2"/>
      <c r="B16" s="102" t="s">
        <v>81</v>
      </c>
      <c r="C16" s="103"/>
      <c r="D16" s="103"/>
      <c r="E16" s="103"/>
      <c r="F16" s="104"/>
      <c r="G16" s="27">
        <v>-55000</v>
      </c>
      <c r="H16" s="23" t="s">
        <v>4</v>
      </c>
      <c r="I16" s="2"/>
    </row>
    <row r="17" spans="1:9" x14ac:dyDescent="0.25">
      <c r="A17" s="2"/>
      <c r="B17" s="112" t="s">
        <v>182</v>
      </c>
      <c r="C17" s="113"/>
      <c r="D17" s="113"/>
      <c r="E17" s="113"/>
      <c r="F17" s="114"/>
      <c r="G17" s="21">
        <f>G15-G16</f>
        <v>-3067</v>
      </c>
      <c r="H17" s="22" t="s">
        <v>4</v>
      </c>
      <c r="I17" s="2"/>
    </row>
    <row r="18" spans="1:9" x14ac:dyDescent="0.25">
      <c r="A18" s="2"/>
      <c r="B18" s="24"/>
      <c r="C18" s="24"/>
      <c r="D18" s="24"/>
      <c r="E18" s="24"/>
      <c r="F18" s="24"/>
      <c r="G18" s="24"/>
      <c r="H18" s="24"/>
      <c r="I18" s="2"/>
    </row>
    <row r="19" spans="1:9" x14ac:dyDescent="0.25">
      <c r="A19" s="2"/>
      <c r="B19" s="24"/>
      <c r="C19" s="24"/>
      <c r="D19" s="24"/>
      <c r="E19" s="24"/>
      <c r="F19" s="24"/>
      <c r="G19" s="24"/>
      <c r="H19" s="24"/>
      <c r="I19" s="2"/>
    </row>
    <row r="20" spans="1:9" x14ac:dyDescent="0.25">
      <c r="A20" s="2"/>
      <c r="B20" s="118" t="s">
        <v>183</v>
      </c>
      <c r="C20" s="119"/>
      <c r="D20" s="119"/>
      <c r="E20" s="119"/>
      <c r="F20" s="119"/>
      <c r="G20" s="119"/>
      <c r="H20" s="120"/>
      <c r="I20" s="2"/>
    </row>
    <row r="21" spans="1:9" x14ac:dyDescent="0.25">
      <c r="A21" s="2"/>
      <c r="B21" s="102" t="s">
        <v>82</v>
      </c>
      <c r="C21" s="103"/>
      <c r="D21" s="103"/>
      <c r="E21" s="103"/>
      <c r="F21" s="104"/>
      <c r="G21" s="27">
        <v>0</v>
      </c>
      <c r="H21" s="23" t="s">
        <v>4</v>
      </c>
      <c r="I21" s="2"/>
    </row>
    <row r="22" spans="1:9" x14ac:dyDescent="0.25">
      <c r="A22" s="2"/>
      <c r="B22" s="102" t="s">
        <v>83</v>
      </c>
      <c r="C22" s="103"/>
      <c r="D22" s="103"/>
      <c r="E22" s="103"/>
      <c r="F22" s="104"/>
      <c r="G22" s="27">
        <v>0</v>
      </c>
      <c r="H22" s="23" t="s">
        <v>4</v>
      </c>
      <c r="I22" s="2"/>
    </row>
    <row r="23" spans="1:9" x14ac:dyDescent="0.25">
      <c r="A23" s="2"/>
      <c r="B23" s="112" t="s">
        <v>183</v>
      </c>
      <c r="C23" s="113"/>
      <c r="D23" s="113"/>
      <c r="E23" s="113"/>
      <c r="F23" s="114"/>
      <c r="G23" s="21">
        <f>G21-G22</f>
        <v>0</v>
      </c>
      <c r="H23" s="22" t="s">
        <v>4</v>
      </c>
      <c r="I23" s="2"/>
    </row>
    <row r="24" spans="1:9" ht="15" customHeight="1" x14ac:dyDescent="0.25">
      <c r="A24" s="2"/>
      <c r="B24" s="24"/>
      <c r="C24" s="24"/>
      <c r="D24" s="24"/>
      <c r="E24" s="24"/>
      <c r="F24" s="24"/>
      <c r="G24" s="24"/>
      <c r="H24" s="24"/>
      <c r="I24" s="2"/>
    </row>
    <row r="25" spans="1:9" x14ac:dyDescent="0.25">
      <c r="A25" s="2"/>
      <c r="B25" s="24"/>
      <c r="C25" s="24"/>
      <c r="D25" s="24"/>
      <c r="E25" s="24"/>
      <c r="F25" s="24"/>
      <c r="G25" s="24"/>
      <c r="H25" s="24"/>
      <c r="I25" s="2"/>
    </row>
    <row r="26" spans="1:9" ht="15" customHeight="1" x14ac:dyDescent="0.25">
      <c r="A26" s="2"/>
      <c r="B26" s="118" t="s">
        <v>184</v>
      </c>
      <c r="C26" s="119"/>
      <c r="D26" s="119"/>
      <c r="E26" s="119"/>
      <c r="F26" s="119"/>
      <c r="G26" s="119"/>
      <c r="H26" s="120"/>
      <c r="I26" s="2"/>
    </row>
    <row r="27" spans="1:9" ht="29.25" customHeight="1" x14ac:dyDescent="0.25">
      <c r="A27" s="2"/>
      <c r="B27" s="99" t="s">
        <v>84</v>
      </c>
      <c r="C27" s="100"/>
      <c r="D27" s="100"/>
      <c r="E27" s="100"/>
      <c r="F27" s="101"/>
      <c r="G27" s="27">
        <v>0</v>
      </c>
      <c r="H27" s="23" t="s">
        <v>4</v>
      </c>
      <c r="I27" s="2"/>
    </row>
    <row r="28" spans="1:9" x14ac:dyDescent="0.25">
      <c r="A28" s="2"/>
      <c r="B28" s="102" t="s">
        <v>85</v>
      </c>
      <c r="C28" s="103"/>
      <c r="D28" s="103"/>
      <c r="E28" s="103"/>
      <c r="F28" s="104"/>
      <c r="G28" s="27">
        <v>0</v>
      </c>
      <c r="H28" s="23" t="s">
        <v>4</v>
      </c>
      <c r="I28" s="2"/>
    </row>
    <row r="29" spans="1:9" ht="15" customHeight="1" x14ac:dyDescent="0.25">
      <c r="A29" s="2"/>
      <c r="B29" s="118" t="s">
        <v>184</v>
      </c>
      <c r="C29" s="119"/>
      <c r="D29" s="119"/>
      <c r="E29" s="119"/>
      <c r="F29" s="120"/>
      <c r="G29" s="21">
        <f>G27-G28</f>
        <v>0</v>
      </c>
      <c r="H29" s="22" t="s">
        <v>4</v>
      </c>
      <c r="I29" s="2"/>
    </row>
    <row r="30" spans="1:9" x14ac:dyDescent="0.25">
      <c r="A30" s="2"/>
      <c r="B30" s="24"/>
      <c r="C30" s="24"/>
      <c r="D30" s="24"/>
      <c r="E30" s="24"/>
      <c r="F30" s="24"/>
      <c r="G30" s="24"/>
      <c r="H30" s="24"/>
      <c r="I30" s="2"/>
    </row>
    <row r="31" spans="1:9" x14ac:dyDescent="0.25">
      <c r="A31" s="2"/>
      <c r="B31" s="24"/>
      <c r="C31" s="24"/>
      <c r="D31" s="24"/>
      <c r="E31" s="24"/>
      <c r="F31" s="24"/>
      <c r="G31" s="24"/>
      <c r="H31" s="24"/>
      <c r="I31" s="2"/>
    </row>
    <row r="32" spans="1:9" x14ac:dyDescent="0.25">
      <c r="A32" s="2"/>
      <c r="B32" s="118" t="s">
        <v>86</v>
      </c>
      <c r="C32" s="119"/>
      <c r="D32" s="119"/>
      <c r="E32" s="119"/>
      <c r="F32" s="119"/>
      <c r="G32" s="119"/>
      <c r="H32" s="120"/>
      <c r="I32" s="2"/>
    </row>
    <row r="33" spans="1:9" x14ac:dyDescent="0.25">
      <c r="A33" s="2"/>
      <c r="B33" s="102" t="s">
        <v>87</v>
      </c>
      <c r="C33" s="103"/>
      <c r="D33" s="103"/>
      <c r="E33" s="103"/>
      <c r="F33" s="104"/>
      <c r="G33" s="12">
        <f>'Fane 8. Gen. inv. i 2016'!F29</f>
        <v>454994.61</v>
      </c>
      <c r="H33" s="23" t="s">
        <v>4</v>
      </c>
      <c r="I33" s="2"/>
    </row>
    <row r="34" spans="1:9" x14ac:dyDescent="0.25">
      <c r="A34" s="2"/>
      <c r="B34" s="102" t="s">
        <v>88</v>
      </c>
      <c r="C34" s="103"/>
      <c r="D34" s="103"/>
      <c r="E34" s="103"/>
      <c r="F34" s="104"/>
      <c r="G34" s="27">
        <v>161333.33333333331</v>
      </c>
      <c r="H34" s="23" t="s">
        <v>4</v>
      </c>
      <c r="I34" s="2"/>
    </row>
    <row r="35" spans="1:9" x14ac:dyDescent="0.25">
      <c r="A35" s="2"/>
      <c r="B35" s="112" t="s">
        <v>86</v>
      </c>
      <c r="C35" s="113"/>
      <c r="D35" s="113"/>
      <c r="E35" s="113"/>
      <c r="F35" s="114"/>
      <c r="G35" s="21">
        <f>G33-G34</f>
        <v>293661.27666666667</v>
      </c>
      <c r="H35" s="22" t="s">
        <v>4</v>
      </c>
      <c r="I35" s="2"/>
    </row>
    <row r="36" spans="1:9" x14ac:dyDescent="0.25">
      <c r="A36" s="2"/>
      <c r="B36" s="2"/>
      <c r="C36" s="2"/>
      <c r="D36" s="2"/>
      <c r="E36" s="2"/>
      <c r="F36" s="2"/>
      <c r="G36" s="2"/>
      <c r="H36" s="2"/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  <row r="42" spans="1:9" x14ac:dyDescent="0.25">
      <c r="A42" s="2"/>
      <c r="B42" s="2"/>
      <c r="C42" s="2"/>
      <c r="D42" s="2"/>
      <c r="E42" s="2"/>
      <c r="F42" s="2"/>
      <c r="G42" s="2"/>
      <c r="H42" s="2"/>
      <c r="I42" s="2"/>
    </row>
    <row r="43" spans="1:9" x14ac:dyDescent="0.25">
      <c r="A43" s="2"/>
      <c r="B43" s="2"/>
      <c r="C43" s="2"/>
      <c r="D43" s="2"/>
      <c r="E43" s="2"/>
      <c r="F43" s="2"/>
      <c r="G43" s="2"/>
      <c r="H43" s="2"/>
      <c r="I43" s="2"/>
    </row>
    <row r="44" spans="1:9" x14ac:dyDescent="0.25">
      <c r="A44" s="2"/>
      <c r="B44" s="2"/>
      <c r="C44" s="2"/>
      <c r="D44" s="2"/>
      <c r="E44" s="2"/>
      <c r="F44" s="2"/>
      <c r="G44" s="2"/>
      <c r="H44" s="2"/>
      <c r="I44" s="2"/>
    </row>
  </sheetData>
  <sheetProtection password="DFE9" sheet="1" objects="1" scenarios="1"/>
  <mergeCells count="21">
    <mergeCell ref="B21:F21"/>
    <mergeCell ref="B22:F22"/>
    <mergeCell ref="B14:H14"/>
    <mergeCell ref="B15:F15"/>
    <mergeCell ref="B16:F16"/>
    <mergeCell ref="B17:F17"/>
    <mergeCell ref="B20:H20"/>
    <mergeCell ref="B3:H4"/>
    <mergeCell ref="B8:H8"/>
    <mergeCell ref="B11:F11"/>
    <mergeCell ref="B10:F10"/>
    <mergeCell ref="B9:F9"/>
    <mergeCell ref="B34:F34"/>
    <mergeCell ref="B35:F35"/>
    <mergeCell ref="B26:H26"/>
    <mergeCell ref="B29:F29"/>
    <mergeCell ref="B23:F23"/>
    <mergeCell ref="B32:H32"/>
    <mergeCell ref="B33:F33"/>
    <mergeCell ref="B27:F27"/>
    <mergeCell ref="B28:F28"/>
  </mergeCells>
  <pageMargins left="0.7" right="0.7" top="0.75" bottom="0.75" header="0.3" footer="0.3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2"/>
  <dimension ref="A1:I40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7109375" style="3" customWidth="1"/>
    <col min="6" max="6" width="3.28515625" style="3" customWidth="1"/>
    <col min="7" max="7" width="10.710937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29.25" customHeight="1" x14ac:dyDescent="0.25">
      <c r="A3" s="2"/>
      <c r="B3" s="117" t="s">
        <v>89</v>
      </c>
      <c r="C3" s="117"/>
      <c r="D3" s="117"/>
      <c r="E3" s="117"/>
      <c r="F3" s="117"/>
      <c r="G3" s="117"/>
      <c r="H3" s="117"/>
      <c r="I3" s="2"/>
    </row>
    <row r="4" spans="1:9" ht="15" customHeight="1" x14ac:dyDescent="0.25">
      <c r="A4" s="2"/>
      <c r="B4" s="117"/>
      <c r="C4" s="117"/>
      <c r="D4" s="117"/>
      <c r="E4" s="117"/>
      <c r="F4" s="117"/>
      <c r="G4" s="117"/>
      <c r="H4" s="11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12" t="s">
        <v>90</v>
      </c>
      <c r="C8" s="113"/>
      <c r="D8" s="113"/>
      <c r="E8" s="113"/>
      <c r="F8" s="113"/>
      <c r="G8" s="113"/>
      <c r="H8" s="114"/>
      <c r="I8" s="2"/>
    </row>
    <row r="9" spans="1:9" x14ac:dyDescent="0.25">
      <c r="A9" s="2"/>
      <c r="B9" s="109" t="s">
        <v>91</v>
      </c>
      <c r="C9" s="110"/>
      <c r="D9" s="110"/>
      <c r="E9" s="110"/>
      <c r="F9" s="111"/>
      <c r="G9" s="26">
        <v>17017208</v>
      </c>
      <c r="H9" s="38" t="s">
        <v>4</v>
      </c>
      <c r="I9" s="2"/>
    </row>
    <row r="10" spans="1:9" x14ac:dyDescent="0.25">
      <c r="A10" s="2"/>
      <c r="B10" s="112" t="s">
        <v>92</v>
      </c>
      <c r="C10" s="113"/>
      <c r="D10" s="113"/>
      <c r="E10" s="113"/>
      <c r="F10" s="113"/>
      <c r="G10" s="113"/>
      <c r="H10" s="114"/>
      <c r="I10" s="2"/>
    </row>
    <row r="11" spans="1:9" x14ac:dyDescent="0.25">
      <c r="A11" s="2"/>
      <c r="B11" s="102" t="s">
        <v>19</v>
      </c>
      <c r="C11" s="103"/>
      <c r="D11" s="104"/>
      <c r="E11" s="27">
        <v>2873745</v>
      </c>
      <c r="F11" s="23" t="s">
        <v>4</v>
      </c>
      <c r="G11" s="20"/>
      <c r="H11" s="42"/>
      <c r="I11" s="2"/>
    </row>
    <row r="12" spans="1:9" x14ac:dyDescent="0.25">
      <c r="A12" s="2"/>
      <c r="B12" s="102" t="s">
        <v>93</v>
      </c>
      <c r="C12" s="103"/>
      <c r="D12" s="104"/>
      <c r="E12" s="27">
        <v>1098746</v>
      </c>
      <c r="F12" s="23" t="s">
        <v>4</v>
      </c>
      <c r="G12" s="15"/>
      <c r="H12" s="43"/>
      <c r="I12" s="2"/>
    </row>
    <row r="13" spans="1:9" x14ac:dyDescent="0.25">
      <c r="A13" s="2"/>
      <c r="B13" s="102" t="s">
        <v>94</v>
      </c>
      <c r="C13" s="103"/>
      <c r="D13" s="104"/>
      <c r="E13" s="27">
        <v>368399</v>
      </c>
      <c r="F13" s="23" t="s">
        <v>4</v>
      </c>
      <c r="G13" s="15"/>
      <c r="H13" s="43"/>
      <c r="I13" s="2"/>
    </row>
    <row r="14" spans="1:9" x14ac:dyDescent="0.25">
      <c r="A14" s="2"/>
      <c r="B14" s="102" t="s">
        <v>95</v>
      </c>
      <c r="C14" s="103"/>
      <c r="D14" s="104"/>
      <c r="E14" s="27">
        <v>409133</v>
      </c>
      <c r="F14" s="23" t="s">
        <v>4</v>
      </c>
      <c r="G14" s="15"/>
      <c r="H14" s="43"/>
      <c r="I14" s="2"/>
    </row>
    <row r="15" spans="1:9" x14ac:dyDescent="0.25">
      <c r="A15" s="2"/>
      <c r="B15" s="109" t="s">
        <v>20</v>
      </c>
      <c r="C15" s="110"/>
      <c r="D15" s="111"/>
      <c r="E15" s="18">
        <f>SUM(E11:E14)</f>
        <v>4750023</v>
      </c>
      <c r="F15" s="38" t="s">
        <v>4</v>
      </c>
      <c r="G15" s="15"/>
      <c r="H15" s="43"/>
      <c r="I15" s="2"/>
    </row>
    <row r="16" spans="1:9" x14ac:dyDescent="0.25">
      <c r="A16" s="2"/>
      <c r="B16" s="102" t="s">
        <v>21</v>
      </c>
      <c r="C16" s="103"/>
      <c r="D16" s="104"/>
      <c r="E16" s="27">
        <v>0</v>
      </c>
      <c r="F16" s="23" t="s">
        <v>4</v>
      </c>
      <c r="G16" s="15"/>
      <c r="H16" s="43"/>
      <c r="I16" s="2"/>
    </row>
    <row r="17" spans="1:9" x14ac:dyDescent="0.25">
      <c r="A17" s="2"/>
      <c r="B17" s="102" t="s">
        <v>22</v>
      </c>
      <c r="C17" s="103"/>
      <c r="D17" s="104"/>
      <c r="E17" s="27">
        <v>35000</v>
      </c>
      <c r="F17" s="23" t="s">
        <v>4</v>
      </c>
      <c r="G17" s="15"/>
      <c r="H17" s="43"/>
      <c r="I17" s="2"/>
    </row>
    <row r="18" spans="1:9" x14ac:dyDescent="0.25">
      <c r="A18" s="2"/>
      <c r="B18" s="102" t="s">
        <v>23</v>
      </c>
      <c r="C18" s="103"/>
      <c r="D18" s="104"/>
      <c r="E18" s="27">
        <v>0</v>
      </c>
      <c r="F18" s="23" t="s">
        <v>4</v>
      </c>
      <c r="G18" s="15"/>
      <c r="H18" s="43"/>
      <c r="I18" s="2"/>
    </row>
    <row r="19" spans="1:9" x14ac:dyDescent="0.25">
      <c r="A19" s="2"/>
      <c r="B19" s="109" t="s">
        <v>24</v>
      </c>
      <c r="C19" s="110"/>
      <c r="D19" s="111"/>
      <c r="E19" s="18">
        <f>SUM(E16:E18)</f>
        <v>35000</v>
      </c>
      <c r="F19" s="38" t="s">
        <v>4</v>
      </c>
      <c r="G19" s="15"/>
      <c r="H19" s="43"/>
      <c r="I19" s="2"/>
    </row>
    <row r="20" spans="1:9" ht="29.25" customHeight="1" x14ac:dyDescent="0.25">
      <c r="A20" s="2"/>
      <c r="B20" s="99" t="s">
        <v>25</v>
      </c>
      <c r="C20" s="100"/>
      <c r="D20" s="101"/>
      <c r="E20" s="27">
        <v>-44956</v>
      </c>
      <c r="F20" s="23" t="s">
        <v>4</v>
      </c>
      <c r="G20" s="15"/>
      <c r="H20" s="43"/>
      <c r="I20" s="2"/>
    </row>
    <row r="21" spans="1:9" ht="30.75" customHeight="1" x14ac:dyDescent="0.25">
      <c r="A21" s="2"/>
      <c r="B21" s="99" t="s">
        <v>26</v>
      </c>
      <c r="C21" s="100"/>
      <c r="D21" s="101"/>
      <c r="E21" s="27">
        <v>-4035322</v>
      </c>
      <c r="F21" s="23" t="s">
        <v>4</v>
      </c>
      <c r="G21" s="15"/>
      <c r="H21" s="43"/>
      <c r="I21" s="2"/>
    </row>
    <row r="22" spans="1:9" x14ac:dyDescent="0.25">
      <c r="A22" s="2"/>
      <c r="B22" s="102" t="s">
        <v>27</v>
      </c>
      <c r="C22" s="103"/>
      <c r="D22" s="104"/>
      <c r="E22" s="27">
        <v>-1328583</v>
      </c>
      <c r="F22" s="23" t="s">
        <v>4</v>
      </c>
      <c r="G22" s="15"/>
      <c r="H22" s="43"/>
      <c r="I22" s="2"/>
    </row>
    <row r="23" spans="1:9" x14ac:dyDescent="0.25">
      <c r="A23" s="2"/>
      <c r="B23" s="102" t="s">
        <v>28</v>
      </c>
      <c r="C23" s="103"/>
      <c r="D23" s="104"/>
      <c r="E23" s="27">
        <v>0</v>
      </c>
      <c r="F23" s="23" t="s">
        <v>4</v>
      </c>
      <c r="G23" s="15"/>
      <c r="H23" s="43"/>
      <c r="I23" s="2"/>
    </row>
    <row r="24" spans="1:9" ht="30" customHeight="1" x14ac:dyDescent="0.25">
      <c r="A24" s="2"/>
      <c r="B24" s="99" t="s">
        <v>29</v>
      </c>
      <c r="C24" s="100"/>
      <c r="D24" s="101"/>
      <c r="E24" s="27">
        <v>0</v>
      </c>
      <c r="F24" s="23" t="s">
        <v>4</v>
      </c>
      <c r="G24" s="15"/>
      <c r="H24" s="43"/>
      <c r="I24" s="2"/>
    </row>
    <row r="25" spans="1:9" ht="30" customHeight="1" x14ac:dyDescent="0.25">
      <c r="A25" s="2"/>
      <c r="B25" s="99" t="s">
        <v>30</v>
      </c>
      <c r="C25" s="100"/>
      <c r="D25" s="101"/>
      <c r="E25" s="27">
        <v>0</v>
      </c>
      <c r="F25" s="23" t="s">
        <v>4</v>
      </c>
      <c r="G25" s="15"/>
      <c r="H25" s="43"/>
      <c r="I25" s="2"/>
    </row>
    <row r="26" spans="1:9" ht="30" customHeight="1" x14ac:dyDescent="0.25">
      <c r="A26" s="2"/>
      <c r="B26" s="99" t="s">
        <v>31</v>
      </c>
      <c r="C26" s="100"/>
      <c r="D26" s="101"/>
      <c r="E26" s="27">
        <v>0</v>
      </c>
      <c r="F26" s="23" t="s">
        <v>4</v>
      </c>
      <c r="G26" s="15"/>
      <c r="H26" s="43"/>
      <c r="I26" s="2"/>
    </row>
    <row r="27" spans="1:9" x14ac:dyDescent="0.25">
      <c r="A27" s="2"/>
      <c r="B27" s="109" t="s">
        <v>32</v>
      </c>
      <c r="C27" s="110"/>
      <c r="D27" s="111"/>
      <c r="E27" s="18">
        <f>SUM(E20:E26)</f>
        <v>-5408861</v>
      </c>
      <c r="F27" s="38" t="s">
        <v>4</v>
      </c>
      <c r="G27" s="16"/>
      <c r="H27" s="44"/>
      <c r="I27" s="2"/>
    </row>
    <row r="28" spans="1:9" x14ac:dyDescent="0.25">
      <c r="A28" s="2"/>
      <c r="B28" s="109" t="s">
        <v>33</v>
      </c>
      <c r="C28" s="110"/>
      <c r="D28" s="111"/>
      <c r="E28" s="18">
        <f>E15+E19+E27</f>
        <v>-623838</v>
      </c>
      <c r="F28" s="38" t="s">
        <v>4</v>
      </c>
      <c r="G28" s="1">
        <f>IF(E28&lt;0,0,-E28)</f>
        <v>0</v>
      </c>
      <c r="H28" s="38" t="s">
        <v>4</v>
      </c>
      <c r="I28" s="2"/>
    </row>
    <row r="29" spans="1:9" x14ac:dyDescent="0.25">
      <c r="A29" s="2"/>
      <c r="B29" s="112" t="s">
        <v>96</v>
      </c>
      <c r="C29" s="113"/>
      <c r="D29" s="113"/>
      <c r="E29" s="113"/>
      <c r="F29" s="113"/>
      <c r="G29" s="113"/>
      <c r="H29" s="114"/>
      <c r="I29" s="2"/>
    </row>
    <row r="30" spans="1:9" x14ac:dyDescent="0.25">
      <c r="A30" s="2"/>
      <c r="B30" s="109" t="s">
        <v>96</v>
      </c>
      <c r="C30" s="110"/>
      <c r="D30" s="111"/>
      <c r="E30" s="26">
        <v>0</v>
      </c>
      <c r="F30" s="38" t="s">
        <v>4</v>
      </c>
      <c r="G30" s="18">
        <f>-$E$30</f>
        <v>0</v>
      </c>
      <c r="H30" s="38" t="s">
        <v>4</v>
      </c>
      <c r="I30" s="2"/>
    </row>
    <row r="31" spans="1:9" x14ac:dyDescent="0.25">
      <c r="A31" s="2"/>
      <c r="B31" s="130" t="s">
        <v>57</v>
      </c>
      <c r="C31" s="113"/>
      <c r="D31" s="113"/>
      <c r="E31" s="113"/>
      <c r="F31" s="113"/>
      <c r="G31" s="113"/>
      <c r="H31" s="114"/>
      <c r="I31" s="2"/>
    </row>
    <row r="32" spans="1:9" ht="30" customHeight="1" x14ac:dyDescent="0.25">
      <c r="A32" s="2"/>
      <c r="B32" s="99" t="s">
        <v>58</v>
      </c>
      <c r="C32" s="100"/>
      <c r="D32" s="101"/>
      <c r="E32" s="27">
        <v>16772300</v>
      </c>
      <c r="F32" s="23" t="s">
        <v>4</v>
      </c>
      <c r="G32" s="20"/>
      <c r="H32" s="42"/>
      <c r="I32" s="2"/>
    </row>
    <row r="33" spans="1:9" x14ac:dyDescent="0.25">
      <c r="A33" s="2"/>
      <c r="B33" s="102" t="s">
        <v>34</v>
      </c>
      <c r="C33" s="103"/>
      <c r="D33" s="104"/>
      <c r="E33" s="27">
        <v>0</v>
      </c>
      <c r="F33" s="23" t="s">
        <v>4</v>
      </c>
      <c r="G33" s="15"/>
      <c r="H33" s="43"/>
      <c r="I33" s="2"/>
    </row>
    <row r="34" spans="1:9" ht="43.5" customHeight="1" x14ac:dyDescent="0.25">
      <c r="A34" s="2"/>
      <c r="B34" s="99" t="s">
        <v>35</v>
      </c>
      <c r="C34" s="100"/>
      <c r="D34" s="101"/>
      <c r="E34" s="27">
        <v>7259</v>
      </c>
      <c r="F34" s="23" t="s">
        <v>4</v>
      </c>
      <c r="G34" s="16"/>
      <c r="H34" s="44"/>
      <c r="I34" s="2"/>
    </row>
    <row r="35" spans="1:9" x14ac:dyDescent="0.25">
      <c r="A35" s="2"/>
      <c r="B35" s="109" t="s">
        <v>36</v>
      </c>
      <c r="C35" s="110"/>
      <c r="D35" s="111"/>
      <c r="E35" s="18">
        <f>SUM(E32:E34)</f>
        <v>16779559</v>
      </c>
      <c r="F35" s="38" t="s">
        <v>4</v>
      </c>
      <c r="G35" s="18">
        <f>-E35</f>
        <v>-16779559</v>
      </c>
      <c r="H35" s="38" t="s">
        <v>4</v>
      </c>
      <c r="I35" s="2"/>
    </row>
    <row r="36" spans="1:9" x14ac:dyDescent="0.25">
      <c r="A36" s="2"/>
      <c r="B36" s="112" t="s">
        <v>97</v>
      </c>
      <c r="C36" s="113"/>
      <c r="D36" s="113"/>
      <c r="E36" s="113"/>
      <c r="F36" s="114"/>
      <c r="G36" s="21">
        <f>$G$9+$G$28+$G$30+$G$35</f>
        <v>237649</v>
      </c>
      <c r="H36" s="22" t="s">
        <v>4</v>
      </c>
      <c r="I36" s="2"/>
    </row>
    <row r="37" spans="1:9" x14ac:dyDescent="0.25">
      <c r="A37" s="2"/>
      <c r="B37" s="2"/>
      <c r="C37" s="2"/>
      <c r="D37" s="2"/>
      <c r="E37" s="2"/>
      <c r="F37" s="2"/>
      <c r="G37" s="2"/>
      <c r="H37" s="2"/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</sheetData>
  <sheetProtection password="DFE9" sheet="1" objects="1" scenarios="1"/>
  <mergeCells count="30">
    <mergeCell ref="B33:D33"/>
    <mergeCell ref="B34:D34"/>
    <mergeCell ref="B9:F9"/>
    <mergeCell ref="B24:D24"/>
    <mergeCell ref="B30:D30"/>
    <mergeCell ref="B20:D20"/>
    <mergeCell ref="B21:D21"/>
    <mergeCell ref="B22:D22"/>
    <mergeCell ref="B23:D23"/>
    <mergeCell ref="B15:D15"/>
    <mergeCell ref="B17:D17"/>
    <mergeCell ref="B18:D18"/>
    <mergeCell ref="B19:D19"/>
    <mergeCell ref="B16:D16"/>
    <mergeCell ref="B3:H4"/>
    <mergeCell ref="B32:D32"/>
    <mergeCell ref="B36:F36"/>
    <mergeCell ref="B8:H8"/>
    <mergeCell ref="B35:D35"/>
    <mergeCell ref="B28:D28"/>
    <mergeCell ref="B27:D27"/>
    <mergeCell ref="B26:D26"/>
    <mergeCell ref="B25:D25"/>
    <mergeCell ref="B11:D11"/>
    <mergeCell ref="B12:D12"/>
    <mergeCell ref="B13:D13"/>
    <mergeCell ref="B14:D14"/>
    <mergeCell ref="B31:H31"/>
    <mergeCell ref="B10:H10"/>
    <mergeCell ref="B29:H29"/>
  </mergeCells>
  <pageMargins left="0.7" right="0.7" top="0.75" bottom="0.75" header="0.3" footer="0.3"/>
  <pageSetup paperSize="9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3"/>
  <dimension ref="A1:H24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98" t="s">
        <v>126</v>
      </c>
      <c r="C3" s="98"/>
      <c r="D3" s="98"/>
      <c r="E3" s="98"/>
      <c r="F3" s="98"/>
      <c r="G3" s="98"/>
      <c r="H3" s="2"/>
    </row>
    <row r="4" spans="1:8" ht="15" customHeight="1" x14ac:dyDescent="0.25">
      <c r="A4" s="2"/>
      <c r="B4" s="98"/>
      <c r="C4" s="98"/>
      <c r="D4" s="98"/>
      <c r="E4" s="98"/>
      <c r="F4" s="98"/>
      <c r="G4" s="98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112" t="s">
        <v>177</v>
      </c>
      <c r="C8" s="113"/>
      <c r="D8" s="113"/>
      <c r="E8" s="113"/>
      <c r="F8" s="113"/>
      <c r="G8" s="114"/>
      <c r="H8" s="2"/>
    </row>
    <row r="9" spans="1:8" ht="29.25" customHeight="1" x14ac:dyDescent="0.25">
      <c r="A9" s="2"/>
      <c r="B9" s="105" t="s">
        <v>116</v>
      </c>
      <c r="C9" s="107"/>
      <c r="D9" s="129" t="s">
        <v>47</v>
      </c>
      <c r="E9" s="129"/>
      <c r="F9" s="129" t="s">
        <v>127</v>
      </c>
      <c r="G9" s="129"/>
      <c r="H9" s="2"/>
    </row>
    <row r="10" spans="1:8" x14ac:dyDescent="0.25">
      <c r="A10" s="2"/>
      <c r="B10" s="131" t="s">
        <v>178</v>
      </c>
      <c r="C10" s="132"/>
      <c r="D10" s="55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112" t="s">
        <v>133</v>
      </c>
      <c r="C11" s="113"/>
      <c r="D11" s="21">
        <f>SUM(D10:D10)</f>
        <v>0</v>
      </c>
      <c r="E11" s="22" t="s">
        <v>4</v>
      </c>
      <c r="F11" s="21">
        <f>SUM(F10:F10)</f>
        <v>0</v>
      </c>
      <c r="G11" s="22" t="s">
        <v>4</v>
      </c>
      <c r="H11" s="2"/>
    </row>
    <row r="12" spans="1:8" x14ac:dyDescent="0.25">
      <c r="A12" s="2"/>
      <c r="B12" s="112" t="s">
        <v>145</v>
      </c>
      <c r="C12" s="114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112" t="s">
        <v>173</v>
      </c>
      <c r="C15" s="113"/>
      <c r="D15" s="113"/>
      <c r="E15" s="113"/>
      <c r="F15" s="113"/>
      <c r="G15" s="114"/>
      <c r="H15" s="2"/>
    </row>
    <row r="16" spans="1:8" ht="15" customHeight="1" x14ac:dyDescent="0.25">
      <c r="A16" s="2"/>
      <c r="B16" s="105" t="s">
        <v>190</v>
      </c>
      <c r="C16" s="106"/>
      <c r="D16" s="106"/>
      <c r="E16" s="107"/>
      <c r="F16" s="129" t="s">
        <v>174</v>
      </c>
      <c r="G16" s="129"/>
      <c r="H16" s="2"/>
    </row>
    <row r="17" spans="1:8" x14ac:dyDescent="0.25">
      <c r="A17" s="2"/>
      <c r="B17" s="102" t="s">
        <v>186</v>
      </c>
      <c r="C17" s="103"/>
      <c r="D17" s="103"/>
      <c r="E17" s="104"/>
      <c r="F17" s="27">
        <v>0</v>
      </c>
      <c r="G17" s="23" t="s">
        <v>4</v>
      </c>
      <c r="H17" s="2"/>
    </row>
    <row r="18" spans="1:8" x14ac:dyDescent="0.25">
      <c r="A18" s="2"/>
      <c r="B18" s="112" t="s">
        <v>175</v>
      </c>
      <c r="C18" s="113"/>
      <c r="D18" s="113"/>
      <c r="E18" s="114"/>
      <c r="F18" s="21">
        <f>SUM(F17:F17)</f>
        <v>0</v>
      </c>
      <c r="G18" s="22" t="s">
        <v>4</v>
      </c>
      <c r="H18" s="2"/>
    </row>
    <row r="19" spans="1:8" x14ac:dyDescent="0.25">
      <c r="A19" s="2"/>
      <c r="B19" s="112" t="s">
        <v>176</v>
      </c>
      <c r="C19" s="113"/>
      <c r="D19" s="113"/>
      <c r="E19" s="114"/>
      <c r="F19" s="21">
        <f>F18*(1+'Fane 2.1. Økonomisk ramme 2018'!E19/100)</f>
        <v>0</v>
      </c>
      <c r="G19" s="22" t="s">
        <v>4</v>
      </c>
      <c r="H19" s="2"/>
    </row>
    <row r="20" spans="1:8" x14ac:dyDescent="0.25">
      <c r="A20" s="2"/>
      <c r="B20" s="2"/>
      <c r="C20" s="2"/>
      <c r="D20" s="2"/>
      <c r="E20" s="2"/>
      <c r="F20" s="2"/>
      <c r="G20" s="2"/>
      <c r="H20" s="2"/>
    </row>
    <row r="21" spans="1:8" x14ac:dyDescent="0.25">
      <c r="A21" s="2"/>
      <c r="B21" s="2"/>
      <c r="C21" s="2"/>
      <c r="D21" s="2"/>
      <c r="E21" s="2"/>
      <c r="F21" s="2"/>
      <c r="G21" s="2"/>
      <c r="H21" s="2"/>
    </row>
    <row r="22" spans="1:8" x14ac:dyDescent="0.25">
      <c r="A22" s="2"/>
      <c r="B22" s="2"/>
      <c r="C22" s="2"/>
      <c r="D22" s="2"/>
      <c r="E22" s="2"/>
      <c r="F22" s="2"/>
      <c r="G22" s="2"/>
      <c r="H22" s="2"/>
    </row>
    <row r="23" spans="1:8" x14ac:dyDescent="0.25">
      <c r="A23" s="2"/>
      <c r="B23" s="2"/>
      <c r="C23" s="2"/>
      <c r="D23" s="2"/>
      <c r="E23" s="2"/>
      <c r="F23" s="2"/>
      <c r="G23" s="2"/>
      <c r="H23" s="2"/>
    </row>
    <row r="24" spans="1:8" x14ac:dyDescent="0.25">
      <c r="A24" s="2"/>
      <c r="B24" s="2"/>
      <c r="C24" s="2"/>
      <c r="D24" s="2"/>
      <c r="E24" s="2"/>
      <c r="F24" s="2"/>
      <c r="G24" s="2"/>
      <c r="H24" s="2"/>
    </row>
  </sheetData>
  <sheetProtection password="DFE9" sheet="1" objects="1" scenarios="1"/>
  <mergeCells count="14">
    <mergeCell ref="B19:E19"/>
    <mergeCell ref="B15:G15"/>
    <mergeCell ref="F16:G16"/>
    <mergeCell ref="B12:C12"/>
    <mergeCell ref="B11:C11"/>
    <mergeCell ref="B16:E16"/>
    <mergeCell ref="B17:E17"/>
    <mergeCell ref="B18:E18"/>
    <mergeCell ref="B10:C10"/>
    <mergeCell ref="B3:G4"/>
    <mergeCell ref="B8:G8"/>
    <mergeCell ref="F9:G9"/>
    <mergeCell ref="B9:C9"/>
    <mergeCell ref="D9:E9"/>
  </mergeCells>
  <pageMargins left="0.7" right="0.7" top="0.75" bottom="0.75" header="0.3" footer="0.3"/>
  <pageSetup paperSize="9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4"/>
  <dimension ref="A1:H15"/>
  <sheetViews>
    <sheetView showGridLines="0" view="pageLayout" zoomScaleNormal="100" workbookViewId="0"/>
  </sheetViews>
  <sheetFormatPr defaultColWidth="9.140625" defaultRowHeight="15" x14ac:dyDescent="0.25"/>
  <cols>
    <col min="1" max="1" width="5.140625" style="3" customWidth="1"/>
    <col min="2" max="2" width="37.85546875" style="3" customWidth="1"/>
    <col min="3" max="3" width="5.42578125" style="3" customWidth="1"/>
    <col min="4" max="4" width="12" style="3" customWidth="1"/>
    <col min="5" max="5" width="3.28515625" style="3" customWidth="1"/>
    <col min="6" max="6" width="12" style="3" customWidth="1"/>
    <col min="7" max="7" width="3.28515625" style="3" customWidth="1"/>
    <col min="8" max="8" width="5.140625" style="3" customWidth="1"/>
    <col min="9" max="16384" width="9.140625" style="3"/>
  </cols>
  <sheetData>
    <row r="1" spans="1:8" x14ac:dyDescent="0.25">
      <c r="A1" s="2"/>
      <c r="B1" s="2"/>
      <c r="C1" s="2"/>
      <c r="D1" s="2"/>
      <c r="E1" s="2"/>
      <c r="F1" s="2"/>
      <c r="G1" s="2"/>
      <c r="H1" s="2"/>
    </row>
    <row r="2" spans="1:8" x14ac:dyDescent="0.25">
      <c r="A2" s="2"/>
      <c r="B2" s="2"/>
      <c r="C2" s="2"/>
      <c r="D2" s="2"/>
      <c r="E2" s="2"/>
      <c r="F2" s="2"/>
      <c r="G2" s="2"/>
      <c r="H2" s="2"/>
    </row>
    <row r="3" spans="1:8" ht="15" customHeight="1" x14ac:dyDescent="0.25">
      <c r="A3" s="2"/>
      <c r="B3" s="117" t="s">
        <v>118</v>
      </c>
      <c r="C3" s="117"/>
      <c r="D3" s="117"/>
      <c r="E3" s="117"/>
      <c r="F3" s="117"/>
      <c r="G3" s="117"/>
      <c r="H3" s="2"/>
    </row>
    <row r="4" spans="1:8" ht="25.5" customHeight="1" x14ac:dyDescent="0.25">
      <c r="A4" s="2"/>
      <c r="B4" s="117"/>
      <c r="C4" s="117"/>
      <c r="D4" s="117"/>
      <c r="E4" s="117"/>
      <c r="F4" s="117"/>
      <c r="G4" s="117"/>
      <c r="H4" s="2"/>
    </row>
    <row r="5" spans="1:8" x14ac:dyDescent="0.25">
      <c r="A5" s="2"/>
      <c r="B5" s="2"/>
      <c r="C5" s="2"/>
      <c r="D5" s="2"/>
      <c r="E5" s="2"/>
      <c r="F5" s="2"/>
      <c r="G5" s="2"/>
      <c r="H5" s="2"/>
    </row>
    <row r="6" spans="1:8" x14ac:dyDescent="0.25">
      <c r="A6" s="2"/>
      <c r="B6" s="2"/>
      <c r="C6" s="2"/>
      <c r="D6" s="2"/>
      <c r="E6" s="2"/>
      <c r="F6" s="2"/>
      <c r="G6" s="2"/>
      <c r="H6" s="2"/>
    </row>
    <row r="7" spans="1:8" x14ac:dyDescent="0.25">
      <c r="A7" s="2"/>
      <c r="B7" s="2"/>
      <c r="C7" s="2"/>
      <c r="D7" s="2"/>
      <c r="E7" s="2"/>
      <c r="F7" s="2"/>
      <c r="G7" s="2"/>
      <c r="H7" s="2"/>
    </row>
    <row r="8" spans="1:8" x14ac:dyDescent="0.25">
      <c r="A8" s="2"/>
      <c r="B8" s="112" t="s">
        <v>117</v>
      </c>
      <c r="C8" s="113"/>
      <c r="D8" s="113"/>
      <c r="E8" s="113"/>
      <c r="F8" s="113"/>
      <c r="G8" s="114"/>
      <c r="H8" s="2"/>
    </row>
    <row r="9" spans="1:8" ht="29.25" customHeight="1" x14ac:dyDescent="0.25">
      <c r="A9" s="2"/>
      <c r="B9" s="45" t="s">
        <v>119</v>
      </c>
      <c r="C9" s="46"/>
      <c r="D9" s="129" t="s">
        <v>47</v>
      </c>
      <c r="E9" s="129"/>
      <c r="F9" s="129" t="s">
        <v>127</v>
      </c>
      <c r="G9" s="129"/>
      <c r="H9" s="2"/>
    </row>
    <row r="10" spans="1:8" x14ac:dyDescent="0.25">
      <c r="A10" s="2"/>
      <c r="B10" s="35" t="s">
        <v>185</v>
      </c>
      <c r="C10" s="36"/>
      <c r="D10" s="27">
        <v>0</v>
      </c>
      <c r="E10" s="23" t="s">
        <v>4</v>
      </c>
      <c r="F10" s="27">
        <v>0</v>
      </c>
      <c r="G10" s="23" t="s">
        <v>4</v>
      </c>
      <c r="H10" s="2"/>
    </row>
    <row r="11" spans="1:8" x14ac:dyDescent="0.25">
      <c r="A11" s="2"/>
      <c r="B11" s="112" t="s">
        <v>128</v>
      </c>
      <c r="C11" s="114"/>
      <c r="D11" s="21">
        <f>-SUM(D10:D10)</f>
        <v>0</v>
      </c>
      <c r="E11" s="22" t="s">
        <v>4</v>
      </c>
      <c r="F11" s="21">
        <f>-SUM(F10:F10)</f>
        <v>0</v>
      </c>
      <c r="G11" s="22" t="s">
        <v>4</v>
      </c>
      <c r="H11" s="2"/>
    </row>
    <row r="12" spans="1:8" x14ac:dyDescent="0.25">
      <c r="A12" s="2"/>
      <c r="B12" s="112" t="s">
        <v>144</v>
      </c>
      <c r="C12" s="114"/>
      <c r="D12" s="21">
        <f>D11*(1+'Fane 2.1. Økonomisk ramme 2018'!E19/100)</f>
        <v>0</v>
      </c>
      <c r="E12" s="22" t="s">
        <v>4</v>
      </c>
      <c r="F12" s="21">
        <f>F11*(1+'Fane 2.1. Økonomisk ramme 2018'!E19/100)</f>
        <v>0</v>
      </c>
      <c r="G12" s="22" t="s">
        <v>4</v>
      </c>
      <c r="H12" s="2"/>
    </row>
    <row r="13" spans="1:8" x14ac:dyDescent="0.25">
      <c r="A13" s="2"/>
      <c r="B13" s="2"/>
      <c r="C13" s="2"/>
      <c r="D13" s="2"/>
      <c r="E13" s="2"/>
      <c r="F13" s="2"/>
      <c r="G13" s="2"/>
      <c r="H13" s="2"/>
    </row>
    <row r="14" spans="1:8" x14ac:dyDescent="0.25">
      <c r="A14" s="2"/>
      <c r="B14" s="2"/>
      <c r="C14" s="2"/>
      <c r="D14" s="2"/>
      <c r="E14" s="2"/>
      <c r="F14" s="2"/>
      <c r="G14" s="2"/>
      <c r="H14" s="2"/>
    </row>
    <row r="15" spans="1:8" x14ac:dyDescent="0.25">
      <c r="A15" s="2"/>
      <c r="B15" s="2"/>
      <c r="C15" s="2"/>
      <c r="D15" s="2"/>
      <c r="E15" s="2"/>
      <c r="F15" s="2"/>
      <c r="G15" s="2"/>
      <c r="H15" s="2"/>
    </row>
  </sheetData>
  <sheetProtection password="DFE9" sheet="1" objects="1" scenarios="1"/>
  <mergeCells count="6">
    <mergeCell ref="B12:C12"/>
    <mergeCell ref="B3:G4"/>
    <mergeCell ref="B8:G8"/>
    <mergeCell ref="F9:G9"/>
    <mergeCell ref="D9:E9"/>
    <mergeCell ref="B11:C11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3"/>
  <dimension ref="A1:I49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9" x14ac:dyDescent="0.25">
      <c r="A2" s="61"/>
      <c r="B2" s="61"/>
      <c r="C2" s="61"/>
      <c r="D2" s="61"/>
      <c r="E2" s="61"/>
      <c r="F2" s="61"/>
      <c r="G2" s="61"/>
      <c r="H2" s="61"/>
      <c r="I2" s="61"/>
    </row>
    <row r="3" spans="1:9" ht="15" customHeight="1" x14ac:dyDescent="0.25">
      <c r="A3" s="61"/>
      <c r="B3" s="133" t="s">
        <v>195</v>
      </c>
      <c r="C3" s="133"/>
      <c r="D3" s="133"/>
      <c r="E3" s="133"/>
      <c r="F3" s="133"/>
      <c r="G3" s="133"/>
      <c r="H3" s="133"/>
      <c r="I3" s="61"/>
    </row>
    <row r="4" spans="1:9" ht="15" customHeight="1" x14ac:dyDescent="0.25">
      <c r="A4" s="61"/>
      <c r="B4" s="133"/>
      <c r="C4" s="133"/>
      <c r="D4" s="133"/>
      <c r="E4" s="133"/>
      <c r="F4" s="133"/>
      <c r="G4" s="133"/>
      <c r="H4" s="133"/>
      <c r="I4" s="61"/>
    </row>
    <row r="5" spans="1:9" x14ac:dyDescent="0.25">
      <c r="A5" s="61"/>
      <c r="B5" s="61"/>
      <c r="C5" s="61"/>
      <c r="D5" s="61"/>
      <c r="E5" s="61"/>
      <c r="F5" s="61"/>
      <c r="G5" s="61"/>
      <c r="H5" s="61"/>
      <c r="I5" s="61"/>
    </row>
    <row r="6" spans="1:9" x14ac:dyDescent="0.25">
      <c r="A6" s="61"/>
      <c r="B6" s="61"/>
      <c r="C6" s="61"/>
      <c r="D6" s="61"/>
      <c r="E6" s="61"/>
      <c r="F6" s="61"/>
      <c r="G6" s="61"/>
      <c r="H6" s="61"/>
      <c r="I6" s="61"/>
    </row>
    <row r="7" spans="1:9" x14ac:dyDescent="0.25">
      <c r="A7" s="61"/>
      <c r="B7" s="61"/>
      <c r="C7" s="61"/>
      <c r="D7" s="61"/>
      <c r="E7" s="61"/>
      <c r="F7" s="61"/>
      <c r="G7" s="61"/>
      <c r="H7" s="61"/>
      <c r="I7" s="61"/>
    </row>
    <row r="8" spans="1:9" x14ac:dyDescent="0.25">
      <c r="A8" s="61"/>
      <c r="B8" s="134" t="s">
        <v>191</v>
      </c>
      <c r="C8" s="135"/>
      <c r="D8" s="135"/>
      <c r="E8" s="135"/>
      <c r="F8" s="135"/>
      <c r="G8" s="135"/>
      <c r="H8" s="136"/>
      <c r="I8" s="61"/>
    </row>
    <row r="9" spans="1:9" ht="30.75" customHeight="1" x14ac:dyDescent="0.25">
      <c r="A9" s="61"/>
      <c r="B9" s="137" t="s">
        <v>194</v>
      </c>
      <c r="C9" s="138"/>
      <c r="D9" s="138"/>
      <c r="E9" s="138"/>
      <c r="F9" s="139"/>
      <c r="G9" s="62">
        <v>1000000</v>
      </c>
      <c r="H9" s="63" t="s">
        <v>4</v>
      </c>
      <c r="I9" s="61"/>
    </row>
    <row r="10" spans="1:9" x14ac:dyDescent="0.25">
      <c r="A10" s="61"/>
      <c r="B10" s="134" t="s">
        <v>191</v>
      </c>
      <c r="C10" s="135"/>
      <c r="D10" s="135"/>
      <c r="E10" s="135"/>
      <c r="F10" s="136"/>
      <c r="G10" s="64">
        <f>G9</f>
        <v>1000000</v>
      </c>
      <c r="H10" s="65" t="s">
        <v>4</v>
      </c>
      <c r="I10" s="61"/>
    </row>
    <row r="11" spans="1:9" x14ac:dyDescent="0.25">
      <c r="A11" s="61"/>
      <c r="B11" s="61"/>
      <c r="C11" s="61"/>
      <c r="D11" s="61"/>
      <c r="E11" s="61"/>
      <c r="F11" s="61"/>
      <c r="G11" s="61"/>
      <c r="H11" s="61"/>
      <c r="I11" s="61"/>
    </row>
    <row r="12" spans="1:9" x14ac:dyDescent="0.25">
      <c r="A12" s="61"/>
      <c r="B12" s="61"/>
      <c r="C12" s="61"/>
      <c r="D12" s="61"/>
      <c r="E12" s="61"/>
      <c r="F12" s="61"/>
      <c r="G12" s="61"/>
      <c r="H12" s="61"/>
      <c r="I12" s="61"/>
    </row>
    <row r="13" spans="1:9" x14ac:dyDescent="0.25">
      <c r="A13" s="61"/>
      <c r="B13" s="61"/>
      <c r="C13" s="61"/>
      <c r="D13" s="61"/>
      <c r="E13" s="61"/>
      <c r="F13" s="61"/>
      <c r="G13" s="61"/>
      <c r="H13" s="61"/>
      <c r="I13" s="61"/>
    </row>
    <row r="14" spans="1:9" x14ac:dyDescent="0.25">
      <c r="A14" s="61"/>
      <c r="B14" s="61"/>
      <c r="C14" s="61"/>
      <c r="D14" s="61"/>
      <c r="E14" s="61"/>
      <c r="F14" s="61"/>
      <c r="G14" s="61"/>
      <c r="H14" s="61"/>
      <c r="I14" s="61"/>
    </row>
    <row r="15" spans="1:9" x14ac:dyDescent="0.25">
      <c r="A15" s="66"/>
      <c r="B15" s="66"/>
      <c r="C15" s="66"/>
      <c r="D15" s="66"/>
      <c r="E15" s="66"/>
      <c r="F15" s="66"/>
      <c r="G15" s="66"/>
      <c r="H15" s="66"/>
      <c r="I15" s="66"/>
    </row>
    <row r="16" spans="1:9" x14ac:dyDescent="0.25">
      <c r="A16" s="66"/>
      <c r="B16" s="66"/>
      <c r="C16" s="66"/>
      <c r="D16" s="66"/>
      <c r="E16" s="66"/>
      <c r="F16" s="66"/>
      <c r="G16" s="66"/>
      <c r="H16" s="66"/>
      <c r="I16" s="66"/>
    </row>
    <row r="17" spans="1:9" x14ac:dyDescent="0.25">
      <c r="A17" s="66"/>
      <c r="B17" s="66"/>
      <c r="C17" s="66"/>
      <c r="D17" s="66"/>
      <c r="E17" s="66"/>
      <c r="F17" s="66"/>
      <c r="G17" s="66"/>
      <c r="H17" s="66"/>
      <c r="I17" s="66"/>
    </row>
    <row r="18" spans="1:9" x14ac:dyDescent="0.25">
      <c r="A18" s="66"/>
      <c r="B18" s="66"/>
      <c r="C18" s="66"/>
      <c r="D18" s="66"/>
      <c r="E18" s="66"/>
      <c r="F18" s="66"/>
      <c r="G18" s="66"/>
      <c r="H18" s="66"/>
      <c r="I18" s="66"/>
    </row>
    <row r="19" spans="1:9" x14ac:dyDescent="0.25">
      <c r="A19" s="66"/>
      <c r="B19" s="66"/>
      <c r="C19" s="66"/>
      <c r="D19" s="66"/>
      <c r="E19" s="66"/>
      <c r="F19" s="66"/>
      <c r="G19" s="66"/>
      <c r="H19" s="66"/>
      <c r="I19" s="66"/>
    </row>
    <row r="20" spans="1:9" x14ac:dyDescent="0.25">
      <c r="A20" s="66"/>
      <c r="B20" s="66"/>
      <c r="C20" s="66"/>
      <c r="D20" s="66"/>
      <c r="E20" s="66"/>
      <c r="F20" s="66"/>
      <c r="G20" s="66"/>
      <c r="H20" s="66"/>
      <c r="I20" s="66"/>
    </row>
    <row r="21" spans="1:9" x14ac:dyDescent="0.25">
      <c r="A21" s="66"/>
      <c r="B21" s="66"/>
      <c r="C21" s="66"/>
      <c r="D21" s="66"/>
      <c r="E21" s="66"/>
      <c r="F21" s="66"/>
      <c r="G21" s="66"/>
      <c r="H21" s="66"/>
      <c r="I21" s="66"/>
    </row>
    <row r="22" spans="1:9" x14ac:dyDescent="0.25">
      <c r="A22" s="66"/>
      <c r="B22" s="66"/>
      <c r="C22" s="66"/>
      <c r="D22" s="66"/>
      <c r="E22" s="66"/>
      <c r="F22" s="66"/>
      <c r="G22" s="66"/>
      <c r="H22" s="66"/>
      <c r="I22" s="66"/>
    </row>
    <row r="23" spans="1:9" x14ac:dyDescent="0.25">
      <c r="A23" s="66"/>
      <c r="B23" s="66"/>
      <c r="C23" s="66"/>
      <c r="D23" s="66"/>
      <c r="E23" s="66"/>
      <c r="F23" s="66"/>
      <c r="G23" s="66"/>
      <c r="H23" s="66"/>
      <c r="I23" s="66"/>
    </row>
    <row r="24" spans="1:9" x14ac:dyDescent="0.25">
      <c r="A24" s="66"/>
      <c r="B24" s="66"/>
      <c r="C24" s="66"/>
      <c r="D24" s="66"/>
      <c r="E24" s="66"/>
      <c r="F24" s="66"/>
      <c r="G24" s="66"/>
      <c r="H24" s="66"/>
      <c r="I24" s="66"/>
    </row>
    <row r="25" spans="1:9" x14ac:dyDescent="0.25">
      <c r="A25" s="66"/>
      <c r="B25" s="66"/>
      <c r="C25" s="66"/>
      <c r="D25" s="66"/>
      <c r="E25" s="66"/>
      <c r="F25" s="66"/>
      <c r="G25" s="66"/>
      <c r="H25" s="66"/>
      <c r="I25" s="66"/>
    </row>
    <row r="26" spans="1:9" x14ac:dyDescent="0.25">
      <c r="A26" s="66"/>
      <c r="B26" s="66"/>
      <c r="C26" s="66"/>
      <c r="D26" s="66"/>
      <c r="E26" s="66"/>
      <c r="F26" s="66"/>
      <c r="G26" s="66"/>
      <c r="H26" s="66"/>
      <c r="I26" s="66"/>
    </row>
    <row r="27" spans="1:9" x14ac:dyDescent="0.25">
      <c r="A27" s="66"/>
      <c r="B27" s="66"/>
      <c r="C27" s="66"/>
      <c r="D27" s="66"/>
      <c r="E27" s="66"/>
      <c r="F27" s="66"/>
      <c r="G27" s="66"/>
      <c r="H27" s="66"/>
      <c r="I27" s="66"/>
    </row>
    <row r="28" spans="1:9" x14ac:dyDescent="0.25">
      <c r="A28" s="66"/>
      <c r="B28" s="66"/>
      <c r="C28" s="66"/>
      <c r="D28" s="66"/>
      <c r="E28" s="66"/>
      <c r="F28" s="66"/>
      <c r="G28" s="66"/>
      <c r="H28" s="66"/>
      <c r="I28" s="66"/>
    </row>
    <row r="29" spans="1:9" x14ac:dyDescent="0.25">
      <c r="A29" s="66"/>
      <c r="B29" s="66"/>
      <c r="C29" s="66"/>
      <c r="D29" s="66"/>
      <c r="E29" s="66"/>
      <c r="F29" s="66"/>
      <c r="G29" s="66"/>
      <c r="H29" s="66"/>
      <c r="I29" s="66"/>
    </row>
    <row r="30" spans="1:9" x14ac:dyDescent="0.25">
      <c r="A30" s="66"/>
      <c r="B30" s="66"/>
      <c r="C30" s="66"/>
      <c r="D30" s="66"/>
      <c r="E30" s="66"/>
      <c r="F30" s="66"/>
      <c r="G30" s="66"/>
      <c r="H30" s="66"/>
      <c r="I30" s="66"/>
    </row>
    <row r="31" spans="1:9" x14ac:dyDescent="0.25">
      <c r="A31" s="66"/>
      <c r="B31" s="66"/>
      <c r="C31" s="66"/>
      <c r="D31" s="66"/>
      <c r="E31" s="66"/>
      <c r="F31" s="66"/>
      <c r="G31" s="66"/>
      <c r="H31" s="66"/>
      <c r="I31" s="66"/>
    </row>
    <row r="32" spans="1:9" x14ac:dyDescent="0.25">
      <c r="A32" s="66"/>
      <c r="B32" s="66"/>
      <c r="C32" s="66"/>
      <c r="D32" s="66"/>
      <c r="E32" s="66"/>
      <c r="F32" s="66"/>
      <c r="G32" s="66"/>
      <c r="H32" s="66"/>
      <c r="I32" s="66"/>
    </row>
    <row r="33" spans="1:9" x14ac:dyDescent="0.25">
      <c r="A33" s="66"/>
      <c r="B33" s="66"/>
      <c r="C33" s="66"/>
      <c r="D33" s="66"/>
      <c r="E33" s="66"/>
      <c r="F33" s="66"/>
      <c r="G33" s="66"/>
      <c r="H33" s="66"/>
      <c r="I33" s="66"/>
    </row>
    <row r="34" spans="1:9" x14ac:dyDescent="0.25">
      <c r="A34" s="66"/>
      <c r="B34" s="66"/>
      <c r="C34" s="66"/>
      <c r="D34" s="66"/>
      <c r="E34" s="66"/>
      <c r="F34" s="66"/>
      <c r="G34" s="66"/>
      <c r="H34" s="66"/>
      <c r="I34" s="66"/>
    </row>
    <row r="35" spans="1:9" x14ac:dyDescent="0.25">
      <c r="A35" s="66"/>
      <c r="B35" s="66"/>
      <c r="C35" s="66"/>
      <c r="D35" s="66"/>
      <c r="E35" s="66"/>
      <c r="F35" s="66"/>
      <c r="G35" s="66"/>
      <c r="H35" s="66"/>
      <c r="I35" s="66"/>
    </row>
    <row r="36" spans="1:9" x14ac:dyDescent="0.25">
      <c r="A36" s="66"/>
      <c r="B36" s="66"/>
      <c r="C36" s="66"/>
      <c r="D36" s="66"/>
      <c r="E36" s="66"/>
      <c r="F36" s="66"/>
      <c r="G36" s="66"/>
      <c r="H36" s="66"/>
      <c r="I36" s="66"/>
    </row>
    <row r="37" spans="1:9" x14ac:dyDescent="0.25">
      <c r="A37" s="66"/>
      <c r="B37" s="66"/>
      <c r="C37" s="66"/>
      <c r="D37" s="66"/>
      <c r="E37" s="66"/>
      <c r="F37" s="66"/>
      <c r="G37" s="66"/>
      <c r="H37" s="66"/>
      <c r="I37" s="66"/>
    </row>
    <row r="38" spans="1:9" x14ac:dyDescent="0.25">
      <c r="A38" s="66"/>
      <c r="B38" s="66"/>
      <c r="C38" s="66"/>
      <c r="D38" s="66"/>
      <c r="E38" s="66"/>
      <c r="F38" s="66"/>
      <c r="G38" s="66"/>
      <c r="H38" s="66"/>
      <c r="I38" s="66"/>
    </row>
    <row r="39" spans="1:9" x14ac:dyDescent="0.25">
      <c r="A39" s="66"/>
      <c r="B39" s="66"/>
      <c r="C39" s="66"/>
      <c r="D39" s="66"/>
      <c r="E39" s="66"/>
      <c r="F39" s="66"/>
      <c r="G39" s="66"/>
      <c r="H39" s="66"/>
      <c r="I39" s="66"/>
    </row>
    <row r="40" spans="1:9" x14ac:dyDescent="0.25">
      <c r="A40" s="66"/>
      <c r="B40" s="66"/>
      <c r="C40" s="66"/>
      <c r="D40" s="66"/>
      <c r="E40" s="66"/>
      <c r="F40" s="66"/>
      <c r="G40" s="66"/>
      <c r="H40" s="66"/>
      <c r="I40" s="66"/>
    </row>
    <row r="41" spans="1:9" x14ac:dyDescent="0.25">
      <c r="A41" s="66"/>
      <c r="B41" s="66"/>
      <c r="C41" s="66"/>
      <c r="D41" s="66"/>
      <c r="E41" s="66"/>
      <c r="F41" s="66"/>
      <c r="G41" s="66"/>
      <c r="H41" s="66"/>
      <c r="I41" s="66"/>
    </row>
    <row r="42" spans="1:9" x14ac:dyDescent="0.25">
      <c r="A42" s="66"/>
      <c r="B42" s="66"/>
      <c r="C42" s="66"/>
      <c r="D42" s="66"/>
      <c r="E42" s="66"/>
      <c r="F42" s="66"/>
      <c r="G42" s="66"/>
      <c r="H42" s="66"/>
      <c r="I42" s="66"/>
    </row>
    <row r="43" spans="1:9" x14ac:dyDescent="0.25">
      <c r="A43" s="66"/>
      <c r="B43" s="66"/>
      <c r="C43" s="66"/>
      <c r="D43" s="66"/>
      <c r="E43" s="66"/>
      <c r="F43" s="66"/>
      <c r="G43" s="66"/>
      <c r="H43" s="66"/>
      <c r="I43" s="66"/>
    </row>
    <row r="44" spans="1:9" x14ac:dyDescent="0.25">
      <c r="A44" s="66"/>
      <c r="B44" s="66"/>
      <c r="C44" s="66"/>
      <c r="D44" s="66"/>
      <c r="E44" s="66"/>
      <c r="F44" s="66"/>
      <c r="G44" s="66"/>
      <c r="H44" s="66"/>
      <c r="I44" s="66"/>
    </row>
    <row r="45" spans="1:9" x14ac:dyDescent="0.25">
      <c r="A45" s="66"/>
      <c r="B45" s="66"/>
      <c r="C45" s="66"/>
      <c r="D45" s="66"/>
      <c r="E45" s="66"/>
      <c r="F45" s="66"/>
      <c r="G45" s="66"/>
      <c r="H45" s="66"/>
      <c r="I45" s="66"/>
    </row>
    <row r="46" spans="1:9" x14ac:dyDescent="0.25">
      <c r="A46" s="66"/>
      <c r="B46" s="66"/>
      <c r="C46" s="66"/>
      <c r="D46" s="66"/>
      <c r="E46" s="66"/>
      <c r="F46" s="66"/>
      <c r="G46" s="66"/>
      <c r="H46" s="66"/>
      <c r="I46" s="66"/>
    </row>
    <row r="47" spans="1:9" x14ac:dyDescent="0.25">
      <c r="A47" s="66"/>
      <c r="B47" s="66"/>
      <c r="C47" s="66"/>
      <c r="D47" s="66"/>
      <c r="E47" s="66"/>
      <c r="F47" s="66"/>
      <c r="G47" s="66"/>
      <c r="H47" s="66"/>
      <c r="I47" s="66"/>
    </row>
    <row r="48" spans="1:9" x14ac:dyDescent="0.25">
      <c r="A48" s="66"/>
      <c r="B48" s="66"/>
      <c r="C48" s="66"/>
      <c r="D48" s="66"/>
      <c r="E48" s="66"/>
      <c r="F48" s="66"/>
      <c r="G48" s="66"/>
      <c r="H48" s="66"/>
      <c r="I48" s="66"/>
    </row>
    <row r="49" spans="1:9" x14ac:dyDescent="0.25">
      <c r="A49" s="66"/>
      <c r="B49" s="66"/>
      <c r="C49" s="66"/>
      <c r="D49" s="66"/>
      <c r="E49" s="66"/>
      <c r="F49" s="66"/>
      <c r="G49" s="66"/>
      <c r="H49" s="66"/>
      <c r="I49" s="66"/>
    </row>
  </sheetData>
  <sheetProtection password="DFE9" sheet="1" objects="1" scenarios="1"/>
  <mergeCells count="4">
    <mergeCell ref="B3:H4"/>
    <mergeCell ref="B8:H8"/>
    <mergeCell ref="B9:F9"/>
    <mergeCell ref="B10:F10"/>
  </mergeCells>
  <pageMargins left="0.7" right="0.7" top="0.75" bottom="0.75" header="0.3" footer="0.3"/>
  <pageSetup paperSize="9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5"/>
  <dimension ref="A1:I49"/>
  <sheetViews>
    <sheetView view="pageLayout" zoomScaleNormal="100" workbookViewId="0"/>
  </sheetViews>
  <sheetFormatPr defaultRowHeight="15" x14ac:dyDescent="0.25"/>
  <cols>
    <col min="1" max="1" width="7.85546875" customWidth="1"/>
    <col min="6" max="6" width="19.85546875" customWidth="1"/>
    <col min="7" max="7" width="10.28515625" customWidth="1"/>
    <col min="8" max="8" width="3.28515625" customWidth="1"/>
    <col min="9" max="9" width="7.85546875" customWidth="1"/>
  </cols>
  <sheetData>
    <row r="1" spans="1:9" x14ac:dyDescent="0.25">
      <c r="A1" s="61"/>
      <c r="B1" s="61"/>
      <c r="C1" s="61"/>
      <c r="D1" s="61"/>
      <c r="E1" s="61"/>
      <c r="F1" s="61"/>
      <c r="G1" s="61"/>
      <c r="H1" s="61"/>
      <c r="I1" s="61"/>
    </row>
    <row r="2" spans="1:9" x14ac:dyDescent="0.25">
      <c r="A2" s="61"/>
      <c r="B2" s="61"/>
      <c r="C2" s="61"/>
      <c r="D2" s="61"/>
      <c r="E2" s="61"/>
      <c r="F2" s="61"/>
      <c r="G2" s="61"/>
      <c r="H2" s="61"/>
      <c r="I2" s="61"/>
    </row>
    <row r="3" spans="1:9" ht="15" customHeight="1" x14ac:dyDescent="0.25">
      <c r="A3" s="61"/>
      <c r="B3" s="133" t="s">
        <v>198</v>
      </c>
      <c r="C3" s="133"/>
      <c r="D3" s="133"/>
      <c r="E3" s="133"/>
      <c r="F3" s="133"/>
      <c r="G3" s="133"/>
      <c r="H3" s="133"/>
      <c r="I3" s="61"/>
    </row>
    <row r="4" spans="1:9" ht="15" customHeight="1" x14ac:dyDescent="0.25">
      <c r="A4" s="61"/>
      <c r="B4" s="133"/>
      <c r="C4" s="133"/>
      <c r="D4" s="133"/>
      <c r="E4" s="133"/>
      <c r="F4" s="133"/>
      <c r="G4" s="133"/>
      <c r="H4" s="133"/>
      <c r="I4" s="61"/>
    </row>
    <row r="5" spans="1:9" x14ac:dyDescent="0.25">
      <c r="A5" s="61"/>
      <c r="B5" s="61"/>
      <c r="C5" s="61"/>
      <c r="D5" s="61"/>
      <c r="E5" s="61"/>
      <c r="F5" s="61"/>
      <c r="G5" s="61"/>
      <c r="H5" s="61"/>
      <c r="I5" s="61"/>
    </row>
    <row r="6" spans="1:9" x14ac:dyDescent="0.25">
      <c r="A6" s="61"/>
      <c r="B6" s="61"/>
      <c r="C6" s="61"/>
      <c r="D6" s="61"/>
      <c r="E6" s="61"/>
      <c r="F6" s="61"/>
      <c r="G6" s="61"/>
      <c r="H6" s="61"/>
      <c r="I6" s="61"/>
    </row>
    <row r="7" spans="1:9" x14ac:dyDescent="0.25">
      <c r="A7" s="61"/>
      <c r="B7" s="61"/>
      <c r="C7" s="61"/>
      <c r="D7" s="61"/>
      <c r="E7" s="61"/>
      <c r="F7" s="61"/>
      <c r="G7" s="61"/>
      <c r="H7" s="61"/>
      <c r="I7" s="61"/>
    </row>
    <row r="8" spans="1:9" x14ac:dyDescent="0.25">
      <c r="A8" s="61"/>
      <c r="B8" s="134" t="s">
        <v>197</v>
      </c>
      <c r="C8" s="135"/>
      <c r="D8" s="135"/>
      <c r="E8" s="135"/>
      <c r="F8" s="135"/>
      <c r="G8" s="135"/>
      <c r="H8" s="136"/>
      <c r="I8" s="61"/>
    </row>
    <row r="9" spans="1:9" x14ac:dyDescent="0.25">
      <c r="A9" s="61"/>
      <c r="B9" s="137" t="s">
        <v>199</v>
      </c>
      <c r="C9" s="138"/>
      <c r="D9" s="138"/>
      <c r="E9" s="138"/>
      <c r="F9" s="139"/>
      <c r="G9" s="62">
        <v>587000</v>
      </c>
      <c r="H9" s="63" t="s">
        <v>4</v>
      </c>
      <c r="I9" s="61"/>
    </row>
    <row r="10" spans="1:9" x14ac:dyDescent="0.25">
      <c r="A10" s="61"/>
      <c r="B10" s="134" t="s">
        <v>200</v>
      </c>
      <c r="C10" s="135"/>
      <c r="D10" s="135"/>
      <c r="E10" s="135"/>
      <c r="F10" s="136"/>
      <c r="G10" s="64">
        <f>G9</f>
        <v>587000</v>
      </c>
      <c r="H10" s="65" t="s">
        <v>4</v>
      </c>
      <c r="I10" s="61"/>
    </row>
    <row r="11" spans="1:9" x14ac:dyDescent="0.25">
      <c r="A11" s="61"/>
      <c r="B11" s="61"/>
      <c r="C11" s="61"/>
      <c r="D11" s="61"/>
      <c r="E11" s="61"/>
      <c r="F11" s="61"/>
      <c r="G11" s="61"/>
      <c r="H11" s="61"/>
      <c r="I11" s="61"/>
    </row>
    <row r="12" spans="1:9" x14ac:dyDescent="0.25">
      <c r="A12" s="61"/>
      <c r="B12" s="61"/>
      <c r="C12" s="61"/>
      <c r="D12" s="61"/>
      <c r="E12" s="61"/>
      <c r="F12" s="61"/>
      <c r="G12" s="61"/>
      <c r="H12" s="61"/>
      <c r="I12" s="61"/>
    </row>
    <row r="13" spans="1:9" x14ac:dyDescent="0.25">
      <c r="A13" s="61"/>
      <c r="B13" s="61"/>
      <c r="C13" s="61"/>
      <c r="D13" s="61"/>
      <c r="E13" s="61"/>
      <c r="F13" s="61"/>
      <c r="G13" s="61"/>
      <c r="H13" s="61"/>
      <c r="I13" s="61"/>
    </row>
    <row r="14" spans="1:9" x14ac:dyDescent="0.25">
      <c r="A14" s="61"/>
      <c r="B14" s="61"/>
      <c r="C14" s="61"/>
      <c r="D14" s="61"/>
      <c r="E14" s="61"/>
      <c r="F14" s="61"/>
      <c r="G14" s="61"/>
      <c r="H14" s="61"/>
      <c r="I14" s="61"/>
    </row>
    <row r="15" spans="1:9" x14ac:dyDescent="0.25">
      <c r="A15" s="66"/>
      <c r="B15" s="66"/>
      <c r="C15" s="66"/>
      <c r="D15" s="66"/>
      <c r="E15" s="66"/>
      <c r="F15" s="66"/>
      <c r="G15" s="66"/>
      <c r="H15" s="66"/>
      <c r="I15" s="66"/>
    </row>
    <row r="16" spans="1:9" x14ac:dyDescent="0.25">
      <c r="A16" s="66"/>
      <c r="B16" s="66"/>
      <c r="C16" s="66"/>
      <c r="D16" s="66"/>
      <c r="E16" s="66"/>
      <c r="F16" s="66"/>
      <c r="G16" s="66"/>
      <c r="H16" s="66"/>
      <c r="I16" s="66"/>
    </row>
    <row r="17" spans="1:9" x14ac:dyDescent="0.25">
      <c r="A17" s="66"/>
      <c r="B17" s="66"/>
      <c r="C17" s="66"/>
      <c r="D17" s="66"/>
      <c r="E17" s="66"/>
      <c r="F17" s="66"/>
      <c r="G17" s="66"/>
      <c r="H17" s="66"/>
      <c r="I17" s="66"/>
    </row>
    <row r="18" spans="1:9" x14ac:dyDescent="0.25">
      <c r="A18" s="66"/>
      <c r="B18" s="66"/>
      <c r="C18" s="66"/>
      <c r="D18" s="66"/>
      <c r="E18" s="66"/>
      <c r="F18" s="66"/>
      <c r="G18" s="66"/>
      <c r="H18" s="66"/>
      <c r="I18" s="66"/>
    </row>
    <row r="19" spans="1:9" x14ac:dyDescent="0.25">
      <c r="A19" s="66"/>
      <c r="B19" s="66"/>
      <c r="C19" s="66"/>
      <c r="D19" s="66"/>
      <c r="E19" s="66"/>
      <c r="F19" s="66"/>
      <c r="G19" s="66"/>
      <c r="H19" s="66"/>
      <c r="I19" s="66"/>
    </row>
    <row r="20" spans="1:9" x14ac:dyDescent="0.25">
      <c r="A20" s="66"/>
      <c r="B20" s="66"/>
      <c r="C20" s="66"/>
      <c r="D20" s="66"/>
      <c r="E20" s="66"/>
      <c r="F20" s="66"/>
      <c r="G20" s="66"/>
      <c r="H20" s="66"/>
      <c r="I20" s="66"/>
    </row>
    <row r="21" spans="1:9" x14ac:dyDescent="0.25">
      <c r="A21" s="66"/>
      <c r="B21" s="66"/>
      <c r="C21" s="66"/>
      <c r="D21" s="66"/>
      <c r="E21" s="66"/>
      <c r="F21" s="66"/>
      <c r="G21" s="66"/>
      <c r="H21" s="66"/>
      <c r="I21" s="66"/>
    </row>
    <row r="22" spans="1:9" x14ac:dyDescent="0.25">
      <c r="A22" s="66"/>
      <c r="B22" s="66"/>
      <c r="C22" s="66"/>
      <c r="D22" s="66"/>
      <c r="E22" s="66"/>
      <c r="F22" s="66"/>
      <c r="G22" s="66"/>
      <c r="H22" s="66"/>
      <c r="I22" s="66"/>
    </row>
    <row r="23" spans="1:9" x14ac:dyDescent="0.25">
      <c r="A23" s="66"/>
      <c r="B23" s="66"/>
      <c r="C23" s="66"/>
      <c r="D23" s="66"/>
      <c r="E23" s="66"/>
      <c r="F23" s="66"/>
      <c r="G23" s="66"/>
      <c r="H23" s="66"/>
      <c r="I23" s="66"/>
    </row>
    <row r="24" spans="1:9" x14ac:dyDescent="0.25">
      <c r="A24" s="66"/>
      <c r="B24" s="66"/>
      <c r="C24" s="66"/>
      <c r="D24" s="66"/>
      <c r="E24" s="66"/>
      <c r="F24" s="66"/>
      <c r="G24" s="66"/>
      <c r="H24" s="66"/>
      <c r="I24" s="66"/>
    </row>
    <row r="25" spans="1:9" x14ac:dyDescent="0.25">
      <c r="A25" s="66"/>
      <c r="B25" s="66"/>
      <c r="C25" s="66"/>
      <c r="D25" s="66"/>
      <c r="E25" s="66"/>
      <c r="F25" s="66"/>
      <c r="G25" s="66"/>
      <c r="H25" s="66"/>
      <c r="I25" s="66"/>
    </row>
    <row r="26" spans="1:9" x14ac:dyDescent="0.25">
      <c r="A26" s="66"/>
      <c r="B26" s="66"/>
      <c r="C26" s="66"/>
      <c r="D26" s="66"/>
      <c r="E26" s="66"/>
      <c r="F26" s="66"/>
      <c r="G26" s="66"/>
      <c r="H26" s="66"/>
      <c r="I26" s="66"/>
    </row>
    <row r="27" spans="1:9" x14ac:dyDescent="0.25">
      <c r="A27" s="66"/>
      <c r="B27" s="66"/>
      <c r="C27" s="66"/>
      <c r="D27" s="66"/>
      <c r="E27" s="66"/>
      <c r="F27" s="66"/>
      <c r="G27" s="66"/>
      <c r="H27" s="66"/>
      <c r="I27" s="66"/>
    </row>
    <row r="28" spans="1:9" x14ac:dyDescent="0.25">
      <c r="A28" s="66"/>
      <c r="B28" s="66"/>
      <c r="C28" s="66"/>
      <c r="D28" s="66"/>
      <c r="E28" s="66"/>
      <c r="F28" s="66"/>
      <c r="G28" s="66"/>
      <c r="H28" s="66"/>
      <c r="I28" s="66"/>
    </row>
    <row r="29" spans="1:9" x14ac:dyDescent="0.25">
      <c r="A29" s="66"/>
      <c r="B29" s="66"/>
      <c r="C29" s="66"/>
      <c r="D29" s="66"/>
      <c r="E29" s="66"/>
      <c r="F29" s="66"/>
      <c r="G29" s="66"/>
      <c r="H29" s="66"/>
      <c r="I29" s="66"/>
    </row>
    <row r="30" spans="1:9" x14ac:dyDescent="0.25">
      <c r="A30" s="66"/>
      <c r="B30" s="66"/>
      <c r="C30" s="66"/>
      <c r="D30" s="66"/>
      <c r="E30" s="66"/>
      <c r="F30" s="66"/>
      <c r="G30" s="66"/>
      <c r="H30" s="66"/>
      <c r="I30" s="66"/>
    </row>
    <row r="31" spans="1:9" x14ac:dyDescent="0.25">
      <c r="A31" s="66"/>
      <c r="B31" s="66"/>
      <c r="C31" s="66"/>
      <c r="D31" s="66"/>
      <c r="E31" s="66"/>
      <c r="F31" s="66"/>
      <c r="G31" s="66"/>
      <c r="H31" s="66"/>
      <c r="I31" s="66"/>
    </row>
    <row r="32" spans="1:9" x14ac:dyDescent="0.25">
      <c r="A32" s="66"/>
      <c r="B32" s="66"/>
      <c r="C32" s="66"/>
      <c r="D32" s="66"/>
      <c r="E32" s="66"/>
      <c r="F32" s="66"/>
      <c r="G32" s="66"/>
      <c r="H32" s="66"/>
      <c r="I32" s="66"/>
    </row>
    <row r="33" spans="1:9" x14ac:dyDescent="0.25">
      <c r="A33" s="66"/>
      <c r="B33" s="66"/>
      <c r="C33" s="66"/>
      <c r="D33" s="66"/>
      <c r="E33" s="66"/>
      <c r="F33" s="66"/>
      <c r="G33" s="66"/>
      <c r="H33" s="66"/>
      <c r="I33" s="66"/>
    </row>
    <row r="34" spans="1:9" x14ac:dyDescent="0.25">
      <c r="A34" s="66"/>
      <c r="B34" s="66"/>
      <c r="C34" s="66"/>
      <c r="D34" s="66"/>
      <c r="E34" s="66"/>
      <c r="F34" s="66"/>
      <c r="G34" s="66"/>
      <c r="H34" s="66"/>
      <c r="I34" s="66"/>
    </row>
    <row r="35" spans="1:9" x14ac:dyDescent="0.25">
      <c r="A35" s="66"/>
      <c r="B35" s="66"/>
      <c r="C35" s="66"/>
      <c r="D35" s="66"/>
      <c r="E35" s="66"/>
      <c r="F35" s="66"/>
      <c r="G35" s="66"/>
      <c r="H35" s="66"/>
      <c r="I35" s="66"/>
    </row>
    <row r="36" spans="1:9" x14ac:dyDescent="0.25">
      <c r="A36" s="66"/>
      <c r="B36" s="66"/>
      <c r="C36" s="66"/>
      <c r="D36" s="66"/>
      <c r="E36" s="66"/>
      <c r="F36" s="66"/>
      <c r="G36" s="66"/>
      <c r="H36" s="66"/>
      <c r="I36" s="66"/>
    </row>
    <row r="37" spans="1:9" x14ac:dyDescent="0.25">
      <c r="A37" s="66"/>
      <c r="B37" s="66"/>
      <c r="C37" s="66"/>
      <c r="D37" s="66"/>
      <c r="E37" s="66"/>
      <c r="F37" s="66"/>
      <c r="G37" s="66"/>
      <c r="H37" s="66"/>
      <c r="I37" s="66"/>
    </row>
    <row r="38" spans="1:9" x14ac:dyDescent="0.25">
      <c r="A38" s="66"/>
      <c r="B38" s="66"/>
      <c r="C38" s="66"/>
      <c r="D38" s="66"/>
      <c r="E38" s="66"/>
      <c r="F38" s="66"/>
      <c r="G38" s="66"/>
      <c r="H38" s="66"/>
      <c r="I38" s="66"/>
    </row>
    <row r="39" spans="1:9" x14ac:dyDescent="0.25">
      <c r="A39" s="66"/>
      <c r="B39" s="66"/>
      <c r="C39" s="66"/>
      <c r="D39" s="66"/>
      <c r="E39" s="66"/>
      <c r="F39" s="66"/>
      <c r="G39" s="66"/>
      <c r="H39" s="66"/>
      <c r="I39" s="66"/>
    </row>
    <row r="40" spans="1:9" x14ac:dyDescent="0.25">
      <c r="A40" s="66"/>
      <c r="B40" s="66"/>
      <c r="C40" s="66"/>
      <c r="D40" s="66"/>
      <c r="E40" s="66"/>
      <c r="F40" s="66"/>
      <c r="G40" s="66"/>
      <c r="H40" s="66"/>
      <c r="I40" s="66"/>
    </row>
    <row r="41" spans="1:9" x14ac:dyDescent="0.25">
      <c r="A41" s="66"/>
      <c r="B41" s="66"/>
      <c r="C41" s="66"/>
      <c r="D41" s="66"/>
      <c r="E41" s="66"/>
      <c r="F41" s="66"/>
      <c r="G41" s="66"/>
      <c r="H41" s="66"/>
      <c r="I41" s="66"/>
    </row>
    <row r="42" spans="1:9" x14ac:dyDescent="0.25">
      <c r="A42" s="66"/>
      <c r="B42" s="66"/>
      <c r="C42" s="66"/>
      <c r="D42" s="66"/>
      <c r="E42" s="66"/>
      <c r="F42" s="66"/>
      <c r="G42" s="66"/>
      <c r="H42" s="66"/>
      <c r="I42" s="66"/>
    </row>
    <row r="43" spans="1:9" x14ac:dyDescent="0.25">
      <c r="A43" s="66"/>
      <c r="B43" s="66"/>
      <c r="C43" s="66"/>
      <c r="D43" s="66"/>
      <c r="E43" s="66"/>
      <c r="F43" s="66"/>
      <c r="G43" s="66"/>
      <c r="H43" s="66"/>
      <c r="I43" s="66"/>
    </row>
    <row r="44" spans="1:9" x14ac:dyDescent="0.25">
      <c r="A44" s="66"/>
      <c r="B44" s="66"/>
      <c r="C44" s="66"/>
      <c r="D44" s="66"/>
      <c r="E44" s="66"/>
      <c r="F44" s="66"/>
      <c r="G44" s="66"/>
      <c r="H44" s="66"/>
      <c r="I44" s="66"/>
    </row>
    <row r="45" spans="1:9" x14ac:dyDescent="0.25">
      <c r="A45" s="66"/>
      <c r="B45" s="66"/>
      <c r="C45" s="66"/>
      <c r="D45" s="66"/>
      <c r="E45" s="66"/>
      <c r="F45" s="66"/>
      <c r="G45" s="66"/>
      <c r="H45" s="66"/>
      <c r="I45" s="66"/>
    </row>
    <row r="46" spans="1:9" x14ac:dyDescent="0.25">
      <c r="A46" s="66"/>
      <c r="B46" s="66"/>
      <c r="C46" s="66"/>
      <c r="D46" s="66"/>
      <c r="E46" s="66"/>
      <c r="F46" s="66"/>
      <c r="G46" s="66"/>
      <c r="H46" s="66"/>
      <c r="I46" s="66"/>
    </row>
    <row r="47" spans="1:9" x14ac:dyDescent="0.25">
      <c r="A47" s="66"/>
      <c r="B47" s="66"/>
      <c r="C47" s="66"/>
      <c r="D47" s="66"/>
      <c r="E47" s="66"/>
      <c r="F47" s="66"/>
      <c r="G47" s="66"/>
      <c r="H47" s="66"/>
      <c r="I47" s="66"/>
    </row>
    <row r="48" spans="1:9" x14ac:dyDescent="0.25">
      <c r="A48" s="66"/>
      <c r="B48" s="66"/>
      <c r="C48" s="66"/>
      <c r="D48" s="66"/>
      <c r="E48" s="66"/>
      <c r="F48" s="66"/>
      <c r="G48" s="66"/>
      <c r="H48" s="66"/>
      <c r="I48" s="66"/>
    </row>
    <row r="49" spans="1:9" x14ac:dyDescent="0.25">
      <c r="A49" s="66"/>
      <c r="B49" s="66"/>
      <c r="C49" s="66"/>
      <c r="D49" s="66"/>
      <c r="E49" s="66"/>
      <c r="F49" s="66"/>
      <c r="G49" s="66"/>
      <c r="H49" s="66"/>
      <c r="I49" s="66"/>
    </row>
  </sheetData>
  <sheetProtection password="DFE9" sheet="1" objects="1" scenarios="1"/>
  <mergeCells count="4">
    <mergeCell ref="B3:H4"/>
    <mergeCell ref="B8:H8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2"/>
  <dimension ref="A1:I41"/>
  <sheetViews>
    <sheetView showGridLines="0" view="pageLayout" zoomScaleNormal="100" workbookViewId="0"/>
  </sheetViews>
  <sheetFormatPr defaultColWidth="9.140625" defaultRowHeight="15" x14ac:dyDescent="0.25"/>
  <cols>
    <col min="1" max="1" width="6.5703125" style="3" customWidth="1"/>
    <col min="2" max="3" width="9.140625" style="3"/>
    <col min="4" max="4" width="27.140625" style="3" customWidth="1"/>
    <col min="5" max="5" width="10.28515625" style="3" customWidth="1"/>
    <col min="6" max="6" width="3.85546875" style="3" customWidth="1"/>
    <col min="7" max="7" width="12.28515625" style="3" customWidth="1"/>
    <col min="8" max="8" width="3.28515625" style="3" customWidth="1"/>
    <col min="9" max="9" width="4.71093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8" t="s">
        <v>109</v>
      </c>
      <c r="C3" s="98"/>
      <c r="D3" s="98"/>
      <c r="E3" s="98"/>
      <c r="F3" s="98"/>
      <c r="G3" s="98"/>
      <c r="H3" s="98"/>
      <c r="I3" s="2"/>
    </row>
    <row r="4" spans="1:9" ht="15" customHeight="1" x14ac:dyDescent="0.25">
      <c r="A4" s="2"/>
      <c r="B4" s="98"/>
      <c r="C4" s="98"/>
      <c r="D4" s="98"/>
      <c r="E4" s="98"/>
      <c r="F4" s="98"/>
      <c r="G4" s="98"/>
      <c r="H4" s="9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12" t="s">
        <v>56</v>
      </c>
      <c r="C8" s="113"/>
      <c r="D8" s="113"/>
      <c r="E8" s="113"/>
      <c r="F8" s="113"/>
      <c r="G8" s="113"/>
      <c r="H8" s="114"/>
      <c r="I8" s="2"/>
    </row>
    <row r="9" spans="1:9" ht="15" customHeight="1" x14ac:dyDescent="0.25">
      <c r="A9" s="2"/>
      <c r="B9" s="99" t="s">
        <v>60</v>
      </c>
      <c r="C9" s="100"/>
      <c r="D9" s="101"/>
      <c r="E9" s="8">
        <f>'Fane 3. Korrigeret grundlag'!G12</f>
        <v>17746083.654033635</v>
      </c>
      <c r="F9" s="9" t="s">
        <v>4</v>
      </c>
      <c r="G9" s="10"/>
      <c r="H9" s="11"/>
      <c r="I9" s="2"/>
    </row>
    <row r="10" spans="1:9" x14ac:dyDescent="0.25">
      <c r="A10" s="2"/>
      <c r="B10" s="108" t="s">
        <v>46</v>
      </c>
      <c r="C10" s="103"/>
      <c r="D10" s="104"/>
      <c r="E10" s="12">
        <f>'Fane 3. Korrigeret grundlag'!G11</f>
        <v>3547136.8417643597</v>
      </c>
      <c r="F10" s="9" t="s">
        <v>4</v>
      </c>
      <c r="G10" s="13"/>
      <c r="H10" s="14"/>
      <c r="I10" s="2"/>
    </row>
    <row r="11" spans="1:9" x14ac:dyDescent="0.25">
      <c r="A11" s="2"/>
      <c r="B11" s="108" t="s">
        <v>121</v>
      </c>
      <c r="C11" s="103"/>
      <c r="D11" s="104"/>
      <c r="E11" s="12">
        <f>'Fane 4. Ikke-påvirkelige omk.'!G19</f>
        <v>-462614.66436900024</v>
      </c>
      <c r="F11" s="9" t="s">
        <v>4</v>
      </c>
      <c r="G11" s="13"/>
      <c r="H11" s="14"/>
      <c r="I11" s="2"/>
    </row>
    <row r="12" spans="1:9" x14ac:dyDescent="0.25">
      <c r="A12" s="2"/>
      <c r="B12" s="51" t="s">
        <v>188</v>
      </c>
      <c r="C12" s="49"/>
      <c r="D12" s="50"/>
      <c r="E12" s="12">
        <f>'Fane 5. Individuelt eff.krav'!G10</f>
        <v>-234705.45156329</v>
      </c>
      <c r="F12" s="9" t="s">
        <v>4</v>
      </c>
      <c r="G12" s="13"/>
      <c r="H12" s="14"/>
      <c r="I12" s="2"/>
    </row>
    <row r="13" spans="1:9" x14ac:dyDescent="0.25">
      <c r="A13" s="2"/>
      <c r="B13" s="108" t="s">
        <v>169</v>
      </c>
      <c r="C13" s="115"/>
      <c r="D13" s="116"/>
      <c r="E13" s="12">
        <f>'Fane 3. Korrigeret grundlag'!G22</f>
        <v>251655</v>
      </c>
      <c r="F13" s="9" t="s">
        <v>4</v>
      </c>
      <c r="G13" s="13"/>
      <c r="H13" s="14"/>
      <c r="I13" s="2"/>
    </row>
    <row r="14" spans="1:9" x14ac:dyDescent="0.25">
      <c r="A14" s="2"/>
      <c r="B14" s="99" t="s">
        <v>129</v>
      </c>
      <c r="C14" s="100"/>
      <c r="D14" s="101"/>
      <c r="E14" s="12">
        <f>'Fane 11. Tillæg'!$D$12</f>
        <v>0</v>
      </c>
      <c r="F14" s="9" t="s">
        <v>4</v>
      </c>
      <c r="G14" s="13"/>
      <c r="H14" s="14"/>
      <c r="I14" s="2"/>
    </row>
    <row r="15" spans="1:9" x14ac:dyDescent="0.25">
      <c r="A15" s="2"/>
      <c r="B15" s="99" t="s">
        <v>130</v>
      </c>
      <c r="C15" s="100"/>
      <c r="D15" s="101"/>
      <c r="E15" s="12">
        <f>'Fane 11. Tillæg'!$F$12</f>
        <v>0</v>
      </c>
      <c r="F15" s="9" t="s">
        <v>4</v>
      </c>
      <c r="G15" s="13"/>
      <c r="H15" s="14"/>
      <c r="I15" s="2"/>
    </row>
    <row r="16" spans="1:9" x14ac:dyDescent="0.25">
      <c r="A16" s="2"/>
      <c r="B16" s="99" t="s">
        <v>173</v>
      </c>
      <c r="C16" s="100"/>
      <c r="D16" s="101"/>
      <c r="E16" s="12">
        <f>'Fane 11. Tillæg'!F19</f>
        <v>0</v>
      </c>
      <c r="F16" s="9" t="s">
        <v>4</v>
      </c>
      <c r="G16" s="13"/>
      <c r="H16" s="14"/>
      <c r="I16" s="2"/>
    </row>
    <row r="17" spans="1:9" x14ac:dyDescent="0.25">
      <c r="A17" s="2"/>
      <c r="B17" s="99" t="s">
        <v>131</v>
      </c>
      <c r="C17" s="100"/>
      <c r="D17" s="101"/>
      <c r="E17" s="12">
        <f>'Fane 12. Bortfald'!$D$12</f>
        <v>0</v>
      </c>
      <c r="F17" s="9" t="s">
        <v>4</v>
      </c>
      <c r="G17" s="13"/>
      <c r="H17" s="14"/>
      <c r="I17" s="2"/>
    </row>
    <row r="18" spans="1:9" x14ac:dyDescent="0.25">
      <c r="A18" s="2"/>
      <c r="B18" s="99" t="s">
        <v>132</v>
      </c>
      <c r="C18" s="100"/>
      <c r="D18" s="101"/>
      <c r="E18" s="12">
        <f>'Fane 12. Bortfald'!$F$12</f>
        <v>0</v>
      </c>
      <c r="F18" s="9" t="s">
        <v>4</v>
      </c>
      <c r="G18" s="13"/>
      <c r="H18" s="14"/>
      <c r="I18" s="2"/>
    </row>
    <row r="19" spans="1:9" x14ac:dyDescent="0.25">
      <c r="A19" s="2"/>
      <c r="B19" s="34" t="s">
        <v>124</v>
      </c>
      <c r="C19" s="32"/>
      <c r="D19" s="33"/>
      <c r="E19" s="30">
        <v>1.75</v>
      </c>
      <c r="F19" s="9" t="s">
        <v>38</v>
      </c>
      <c r="G19" s="13"/>
      <c r="H19" s="14"/>
      <c r="I19" s="2"/>
    </row>
    <row r="20" spans="1:9" x14ac:dyDescent="0.25">
      <c r="A20" s="2"/>
      <c r="B20" s="108" t="s">
        <v>123</v>
      </c>
      <c r="C20" s="103"/>
      <c r="D20" s="104"/>
      <c r="E20" s="12">
        <f>SUM(E9,E11:E18)*(E19/100)</f>
        <v>302757.32441677351</v>
      </c>
      <c r="F20" s="9" t="s">
        <v>4</v>
      </c>
      <c r="G20" s="13"/>
      <c r="H20" s="14"/>
      <c r="I20" s="2"/>
    </row>
    <row r="21" spans="1:9" x14ac:dyDescent="0.25">
      <c r="A21" s="2"/>
      <c r="B21" s="102" t="s">
        <v>15</v>
      </c>
      <c r="C21" s="103"/>
      <c r="D21" s="104"/>
      <c r="E21" s="12">
        <f>'Fane 5. Individuelt eff.krav'!G12</f>
        <v>0</v>
      </c>
      <c r="F21" s="9" t="s">
        <v>4</v>
      </c>
      <c r="G21" s="15"/>
      <c r="H21" s="14"/>
      <c r="I21" s="2"/>
    </row>
    <row r="22" spans="1:9" x14ac:dyDescent="0.25">
      <c r="A22" s="2"/>
      <c r="B22" s="102" t="s">
        <v>16</v>
      </c>
      <c r="C22" s="103"/>
      <c r="D22" s="104"/>
      <c r="E22" s="12">
        <f>'Fane 6. Generelt eff.krav'!G17</f>
        <v>278310.47744388977</v>
      </c>
      <c r="F22" s="9" t="s">
        <v>4</v>
      </c>
      <c r="G22" s="16"/>
      <c r="H22" s="17"/>
      <c r="I22" s="2"/>
    </row>
    <row r="23" spans="1:9" x14ac:dyDescent="0.25">
      <c r="A23" s="2"/>
      <c r="B23" s="109" t="s">
        <v>179</v>
      </c>
      <c r="C23" s="110"/>
      <c r="D23" s="111"/>
      <c r="E23" s="18">
        <f>SUM(E9,E11:E18,E20)-SUM(E21:E22)</f>
        <v>17324865.385074228</v>
      </c>
      <c r="F23" s="19" t="s">
        <v>4</v>
      </c>
      <c r="G23" s="18">
        <f>E23</f>
        <v>17324865.385074228</v>
      </c>
      <c r="H23" s="19" t="s">
        <v>4</v>
      </c>
      <c r="I23" s="2"/>
    </row>
    <row r="24" spans="1:9" x14ac:dyDescent="0.25">
      <c r="A24" s="2"/>
      <c r="B24" s="112" t="s">
        <v>191</v>
      </c>
      <c r="C24" s="113"/>
      <c r="D24" s="113"/>
      <c r="E24" s="113"/>
      <c r="F24" s="113"/>
      <c r="G24" s="113"/>
      <c r="H24" s="114"/>
      <c r="I24" s="2"/>
    </row>
    <row r="25" spans="1:9" x14ac:dyDescent="0.25">
      <c r="A25" s="2"/>
      <c r="B25" s="105" t="s">
        <v>192</v>
      </c>
      <c r="C25" s="106"/>
      <c r="D25" s="107"/>
      <c r="E25" s="18">
        <f>'Fane 13. Driftsunderskud'!G10</f>
        <v>1000000</v>
      </c>
      <c r="F25" s="19" t="s">
        <v>4</v>
      </c>
      <c r="G25" s="18">
        <f>E25</f>
        <v>1000000</v>
      </c>
      <c r="H25" s="19" t="s">
        <v>4</v>
      </c>
      <c r="I25" s="2"/>
    </row>
    <row r="26" spans="1:9" x14ac:dyDescent="0.25">
      <c r="A26" s="2"/>
      <c r="B26" s="112" t="s">
        <v>17</v>
      </c>
      <c r="C26" s="113"/>
      <c r="D26" s="113"/>
      <c r="E26" s="113"/>
      <c r="F26" s="113"/>
      <c r="G26" s="113"/>
      <c r="H26" s="114"/>
      <c r="I26" s="2"/>
    </row>
    <row r="27" spans="1:9" x14ac:dyDescent="0.25">
      <c r="A27" s="2"/>
      <c r="B27" s="105" t="s">
        <v>55</v>
      </c>
      <c r="C27" s="106"/>
      <c r="D27" s="107"/>
      <c r="E27" s="18">
        <f>'Fane 7. Hist. over el. underdæk'!G13</f>
        <v>-310846.71666666667</v>
      </c>
      <c r="F27" s="19" t="s">
        <v>4</v>
      </c>
      <c r="G27" s="18">
        <f>E27</f>
        <v>-310846.71666666667</v>
      </c>
      <c r="H27" s="19" t="s">
        <v>4</v>
      </c>
      <c r="I27" s="2"/>
    </row>
    <row r="28" spans="1:9" x14ac:dyDescent="0.25">
      <c r="A28" s="2"/>
      <c r="B28" s="112" t="s">
        <v>98</v>
      </c>
      <c r="C28" s="113"/>
      <c r="D28" s="113"/>
      <c r="E28" s="113"/>
      <c r="F28" s="113"/>
      <c r="G28" s="113"/>
      <c r="H28" s="114"/>
      <c r="I28" s="2"/>
    </row>
    <row r="29" spans="1:9" x14ac:dyDescent="0.25">
      <c r="A29" s="2"/>
      <c r="B29" s="99" t="s">
        <v>105</v>
      </c>
      <c r="C29" s="100"/>
      <c r="D29" s="101"/>
      <c r="E29" s="12">
        <f>'Fane 9. Korrektion af PL2016'!G11</f>
        <v>-485555</v>
      </c>
      <c r="F29" s="9" t="s">
        <v>4</v>
      </c>
      <c r="G29" s="20"/>
      <c r="H29" s="11"/>
      <c r="I29" s="2"/>
    </row>
    <row r="30" spans="1:9" x14ac:dyDescent="0.25">
      <c r="A30" s="2"/>
      <c r="B30" s="99" t="s">
        <v>99</v>
      </c>
      <c r="C30" s="100"/>
      <c r="D30" s="101"/>
      <c r="E30" s="12">
        <f>'Fane 9. Korrektion af PL2016'!G17</f>
        <v>-3067</v>
      </c>
      <c r="F30" s="9" t="s">
        <v>4</v>
      </c>
      <c r="G30" s="15"/>
      <c r="H30" s="14"/>
      <c r="I30" s="2"/>
    </row>
    <row r="31" spans="1:9" ht="30" customHeight="1" x14ac:dyDescent="0.25">
      <c r="A31" s="2"/>
      <c r="B31" s="99" t="s">
        <v>100</v>
      </c>
      <c r="C31" s="100"/>
      <c r="D31" s="101"/>
      <c r="E31" s="12">
        <f>'Fane 9. Korrektion af PL2016'!G23</f>
        <v>0</v>
      </c>
      <c r="F31" s="9" t="s">
        <v>4</v>
      </c>
      <c r="G31" s="13"/>
      <c r="H31" s="14"/>
      <c r="I31" s="2"/>
    </row>
    <row r="32" spans="1:9" ht="30" customHeight="1" x14ac:dyDescent="0.25">
      <c r="A32" s="2"/>
      <c r="B32" s="99" t="s">
        <v>101</v>
      </c>
      <c r="C32" s="100"/>
      <c r="D32" s="101"/>
      <c r="E32" s="12">
        <f>'Fane 9. Korrektion af PL2016'!G29</f>
        <v>0</v>
      </c>
      <c r="F32" s="9" t="s">
        <v>4</v>
      </c>
      <c r="G32" s="15"/>
      <c r="H32" s="14"/>
      <c r="I32" s="2"/>
    </row>
    <row r="33" spans="1:9" ht="28.5" customHeight="1" x14ac:dyDescent="0.25">
      <c r="A33" s="2"/>
      <c r="B33" s="99" t="s">
        <v>102</v>
      </c>
      <c r="C33" s="100"/>
      <c r="D33" s="101"/>
      <c r="E33" s="12">
        <f>'Fane 9. Korrektion af PL2016'!G35</f>
        <v>293661.27666666667</v>
      </c>
      <c r="F33" s="9" t="s">
        <v>4</v>
      </c>
      <c r="G33" s="15"/>
      <c r="H33" s="14"/>
      <c r="I33" s="2"/>
    </row>
    <row r="34" spans="1:9" x14ac:dyDescent="0.25">
      <c r="A34" s="2"/>
      <c r="B34" s="105" t="s">
        <v>103</v>
      </c>
      <c r="C34" s="106"/>
      <c r="D34" s="107"/>
      <c r="E34" s="18">
        <f>SUM(E29:E33)</f>
        <v>-194960.72333333333</v>
      </c>
      <c r="F34" s="19" t="s">
        <v>4</v>
      </c>
      <c r="G34" s="18">
        <f>E34</f>
        <v>-194960.72333333333</v>
      </c>
      <c r="H34" s="19" t="s">
        <v>4</v>
      </c>
      <c r="I34" s="2"/>
    </row>
    <row r="35" spans="1:9" x14ac:dyDescent="0.25">
      <c r="A35" s="2"/>
      <c r="B35" s="112" t="s">
        <v>18</v>
      </c>
      <c r="C35" s="113"/>
      <c r="D35" s="113"/>
      <c r="E35" s="113"/>
      <c r="F35" s="113"/>
      <c r="G35" s="113"/>
      <c r="H35" s="114"/>
      <c r="I35" s="2"/>
    </row>
    <row r="36" spans="1:9" x14ac:dyDescent="0.25">
      <c r="A36" s="2"/>
      <c r="B36" s="105" t="s">
        <v>104</v>
      </c>
      <c r="C36" s="106"/>
      <c r="D36" s="107"/>
      <c r="E36" s="18">
        <f>'Fane 10. Kontrol af PL2016'!G36</f>
        <v>237649</v>
      </c>
      <c r="F36" s="19" t="s">
        <v>4</v>
      </c>
      <c r="G36" s="18">
        <f>E36</f>
        <v>237649</v>
      </c>
      <c r="H36" s="19" t="s">
        <v>4</v>
      </c>
      <c r="I36" s="2"/>
    </row>
    <row r="37" spans="1:9" x14ac:dyDescent="0.25">
      <c r="A37" s="2"/>
      <c r="B37" s="112" t="s">
        <v>62</v>
      </c>
      <c r="C37" s="113"/>
      <c r="D37" s="113"/>
      <c r="E37" s="113"/>
      <c r="F37" s="114"/>
      <c r="G37" s="21">
        <f>G23+G25+G27+G34+G36</f>
        <v>18056706.94507423</v>
      </c>
      <c r="H37" s="22" t="s">
        <v>4</v>
      </c>
      <c r="I37" s="2"/>
    </row>
    <row r="38" spans="1:9" x14ac:dyDescent="0.25">
      <c r="A38" s="2"/>
      <c r="B38" s="2"/>
      <c r="C38" s="2"/>
      <c r="D38" s="2"/>
      <c r="E38" s="2"/>
      <c r="F38" s="2"/>
      <c r="G38" s="2"/>
      <c r="H38" s="2"/>
      <c r="I38" s="2"/>
    </row>
    <row r="39" spans="1:9" x14ac:dyDescent="0.25">
      <c r="A39" s="2"/>
      <c r="B39" s="2"/>
      <c r="C39" s="2"/>
      <c r="D39" s="2"/>
      <c r="E39" s="2"/>
      <c r="F39" s="2"/>
      <c r="G39" s="2"/>
      <c r="H39" s="2"/>
      <c r="I39" s="2"/>
    </row>
    <row r="40" spans="1:9" x14ac:dyDescent="0.25">
      <c r="A40" s="2"/>
      <c r="B40" s="2"/>
      <c r="C40" s="2"/>
      <c r="D40" s="2"/>
      <c r="E40" s="2"/>
      <c r="F40" s="2"/>
      <c r="G40" s="2"/>
      <c r="H40" s="2"/>
      <c r="I40" s="2"/>
    </row>
    <row r="41" spans="1:9" x14ac:dyDescent="0.25">
      <c r="A41" s="2"/>
      <c r="B41" s="2"/>
      <c r="C41" s="2"/>
      <c r="D41" s="2"/>
      <c r="E41" s="2"/>
      <c r="F41" s="2"/>
      <c r="G41" s="2"/>
      <c r="H41" s="2"/>
      <c r="I41" s="2"/>
    </row>
  </sheetData>
  <sheetProtection password="DFE9" sheet="1" objects="1" scenarios="1"/>
  <mergeCells count="29">
    <mergeCell ref="B11:D11"/>
    <mergeCell ref="B34:D34"/>
    <mergeCell ref="B31:D31"/>
    <mergeCell ref="B37:F37"/>
    <mergeCell ref="B20:D20"/>
    <mergeCell ref="B14:D14"/>
    <mergeCell ref="B15:D15"/>
    <mergeCell ref="B17:D17"/>
    <mergeCell ref="B18:D18"/>
    <mergeCell ref="B13:D13"/>
    <mergeCell ref="B16:D16"/>
    <mergeCell ref="B24:H24"/>
    <mergeCell ref="B25:D25"/>
    <mergeCell ref="B3:H4"/>
    <mergeCell ref="B9:D9"/>
    <mergeCell ref="B21:D21"/>
    <mergeCell ref="B36:D36"/>
    <mergeCell ref="B22:D22"/>
    <mergeCell ref="B10:D10"/>
    <mergeCell ref="B23:D23"/>
    <mergeCell ref="B27:D27"/>
    <mergeCell ref="B30:D30"/>
    <mergeCell ref="B32:D32"/>
    <mergeCell ref="B33:D33"/>
    <mergeCell ref="B35:H35"/>
    <mergeCell ref="B28:H28"/>
    <mergeCell ref="B26:H26"/>
    <mergeCell ref="B29:D29"/>
    <mergeCell ref="B8:H8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4"/>
  <dimension ref="A1:I26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8" t="s">
        <v>108</v>
      </c>
      <c r="C3" s="98"/>
      <c r="D3" s="98"/>
      <c r="E3" s="98"/>
      <c r="F3" s="98"/>
      <c r="G3" s="98"/>
      <c r="H3" s="98"/>
      <c r="I3" s="2"/>
    </row>
    <row r="4" spans="1:9" ht="15" customHeight="1" x14ac:dyDescent="0.25">
      <c r="A4" s="2"/>
      <c r="B4" s="98"/>
      <c r="C4" s="98"/>
      <c r="D4" s="98"/>
      <c r="E4" s="98"/>
      <c r="F4" s="98"/>
      <c r="G4" s="98"/>
      <c r="H4" s="9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12" t="s">
        <v>56</v>
      </c>
      <c r="C8" s="113"/>
      <c r="D8" s="113"/>
      <c r="E8" s="113"/>
      <c r="F8" s="113"/>
      <c r="G8" s="113"/>
      <c r="H8" s="114"/>
      <c r="I8" s="2"/>
    </row>
    <row r="9" spans="1:9" x14ac:dyDescent="0.25">
      <c r="A9" s="2"/>
      <c r="B9" s="99" t="s">
        <v>106</v>
      </c>
      <c r="C9" s="100"/>
      <c r="D9" s="101"/>
      <c r="E9" s="8">
        <f>'Fane 2.1. Økonomisk ramme 2018'!G23-'Fane 2.1. Økonomisk ramme 2018'!E13*(1+0.0175)*(1-0.02-'Fane 5. Individuelt eff.krav'!G11/100)</f>
        <v>17073927.601824228</v>
      </c>
      <c r="F9" s="9" t="s">
        <v>4</v>
      </c>
      <c r="G9" s="10"/>
      <c r="H9" s="11"/>
      <c r="I9" s="2"/>
    </row>
    <row r="10" spans="1:9" x14ac:dyDescent="0.25">
      <c r="A10" s="2"/>
      <c r="B10" s="108" t="s">
        <v>46</v>
      </c>
      <c r="C10" s="115"/>
      <c r="D10" s="116"/>
      <c r="E10" s="12">
        <f>(SUM('Fane 2.1. Økonomisk ramme 2018'!E10:E11,'Fane 2.1. Økonomisk ramme 2018'!E16))*(1+'Fane 2.1. Økonomisk ramme 2018'!E19/100)</f>
        <v>3138501.3154997788</v>
      </c>
      <c r="F10" s="9" t="s">
        <v>4</v>
      </c>
      <c r="G10" s="13"/>
      <c r="H10" s="14"/>
      <c r="I10" s="2"/>
    </row>
    <row r="11" spans="1:9" x14ac:dyDescent="0.25">
      <c r="A11" s="2"/>
      <c r="B11" s="58" t="s">
        <v>169</v>
      </c>
      <c r="C11" s="59"/>
      <c r="D11" s="60"/>
      <c r="E11" s="12">
        <v>76818</v>
      </c>
      <c r="F11" s="9" t="s">
        <v>4</v>
      </c>
      <c r="G11" s="13"/>
      <c r="H11" s="14"/>
      <c r="I11" s="2"/>
    </row>
    <row r="12" spans="1:9" x14ac:dyDescent="0.25">
      <c r="A12" s="2"/>
      <c r="B12" s="102" t="s">
        <v>61</v>
      </c>
      <c r="C12" s="103"/>
      <c r="D12" s="104"/>
      <c r="E12" s="12">
        <f>($E$9+E11)*'Fane 2.1. Økonomisk ramme 2018'!E19/100</f>
        <v>300138.048031924</v>
      </c>
      <c r="F12" s="9" t="s">
        <v>4</v>
      </c>
      <c r="G12" s="15"/>
      <c r="H12" s="14"/>
      <c r="I12" s="2"/>
    </row>
    <row r="13" spans="1:9" x14ac:dyDescent="0.25">
      <c r="A13" s="2"/>
      <c r="B13" s="102" t="s">
        <v>15</v>
      </c>
      <c r="C13" s="103"/>
      <c r="D13" s="104"/>
      <c r="E13" s="12">
        <f>($E$9+E11-$E$10)*(1+'Fane 2.1. Økonomisk ramme 2018'!E19/100)*'Fane 5. Individuelt eff.krav'!$G$11/100</f>
        <v>0</v>
      </c>
      <c r="F13" s="9" t="s">
        <v>4</v>
      </c>
      <c r="G13" s="15"/>
      <c r="H13" s="14"/>
      <c r="I13" s="2"/>
    </row>
    <row r="14" spans="1:9" x14ac:dyDescent="0.25">
      <c r="A14" s="2"/>
      <c r="B14" s="31" t="s">
        <v>16</v>
      </c>
      <c r="C14" s="32"/>
      <c r="D14" s="33"/>
      <c r="E14" s="12">
        <f>(('Fane 6. Generelt eff.krav'!G12/('Fane 6. Generelt eff.krav'!G11/100)-'Fane 6. Generelt eff.krav'!G12)+E11)*(1+'Fane 2.1. Økonomisk ramme 2018'!E19/100)*'Fane 6. Generelt eff.krav'!G11/100+(('Fane 6. Generelt eff.krav'!G16/('Fane 6. Generelt eff.krav'!G15/100))-'Fane 6. Generelt eff.krav'!G16)*(1+'Fane 2.1. Økonomisk ramme 2018'!E19/100)*'Fane 6. Generelt eff.krav'!G15/100</f>
        <v>279278.3402104929</v>
      </c>
      <c r="F14" s="9" t="s">
        <v>4</v>
      </c>
      <c r="G14" s="16"/>
      <c r="H14" s="17"/>
      <c r="I14" s="2"/>
    </row>
    <row r="15" spans="1:9" x14ac:dyDescent="0.25">
      <c r="A15" s="2"/>
      <c r="B15" s="109" t="s">
        <v>179</v>
      </c>
      <c r="C15" s="110"/>
      <c r="D15" s="111"/>
      <c r="E15" s="18">
        <f>$E$9+$E$12-$E$13-$E$14+E11</f>
        <v>17171605.309645656</v>
      </c>
      <c r="F15" s="19" t="s">
        <v>4</v>
      </c>
      <c r="G15" s="18">
        <f>E15</f>
        <v>17171605.309645656</v>
      </c>
      <c r="H15" s="19" t="s">
        <v>4</v>
      </c>
      <c r="I15" s="2"/>
    </row>
    <row r="16" spans="1:9" x14ac:dyDescent="0.25">
      <c r="A16" s="2"/>
      <c r="B16" s="112" t="s">
        <v>191</v>
      </c>
      <c r="C16" s="113"/>
      <c r="D16" s="113"/>
      <c r="E16" s="113"/>
      <c r="F16" s="113"/>
      <c r="G16" s="113"/>
      <c r="H16" s="114"/>
      <c r="I16" s="2"/>
    </row>
    <row r="17" spans="1:9" x14ac:dyDescent="0.25">
      <c r="A17" s="2"/>
      <c r="B17" s="105" t="s">
        <v>193</v>
      </c>
      <c r="C17" s="106"/>
      <c r="D17" s="107"/>
      <c r="E17" s="18">
        <f>-'Fane 13. Driftsunderskud'!G10</f>
        <v>-1000000</v>
      </c>
      <c r="F17" s="19" t="s">
        <v>4</v>
      </c>
      <c r="G17" s="18">
        <f>E17</f>
        <v>-1000000</v>
      </c>
      <c r="H17" s="19" t="s">
        <v>4</v>
      </c>
      <c r="I17" s="2"/>
    </row>
    <row r="18" spans="1:9" x14ac:dyDescent="0.25">
      <c r="A18" s="2"/>
      <c r="B18" s="112" t="s">
        <v>197</v>
      </c>
      <c r="C18" s="113"/>
      <c r="D18" s="113"/>
      <c r="E18" s="113"/>
      <c r="F18" s="113"/>
      <c r="G18" s="113"/>
      <c r="H18" s="114"/>
      <c r="I18" s="2"/>
    </row>
    <row r="19" spans="1:9" x14ac:dyDescent="0.25">
      <c r="A19" s="2"/>
      <c r="B19" s="105" t="s">
        <v>197</v>
      </c>
      <c r="C19" s="106"/>
      <c r="D19" s="107"/>
      <c r="E19" s="18">
        <f>'Fane 14. Investeringstillæg'!G10</f>
        <v>587000</v>
      </c>
      <c r="F19" s="19" t="s">
        <v>4</v>
      </c>
      <c r="G19" s="18">
        <f>E19</f>
        <v>587000</v>
      </c>
      <c r="H19" s="19" t="s">
        <v>4</v>
      </c>
      <c r="I19" s="2"/>
    </row>
    <row r="20" spans="1:9" x14ac:dyDescent="0.25">
      <c r="A20" s="2"/>
      <c r="B20" s="112" t="s">
        <v>17</v>
      </c>
      <c r="C20" s="113"/>
      <c r="D20" s="113"/>
      <c r="E20" s="113"/>
      <c r="F20" s="113"/>
      <c r="G20" s="113"/>
      <c r="H20" s="114"/>
      <c r="I20" s="2"/>
    </row>
    <row r="21" spans="1:9" ht="15" customHeight="1" x14ac:dyDescent="0.25">
      <c r="A21" s="2"/>
      <c r="B21" s="105" t="s">
        <v>55</v>
      </c>
      <c r="C21" s="106"/>
      <c r="D21" s="107"/>
      <c r="E21" s="18">
        <f>IF('Fane 7. Hist. over el. underdæk'!$G$12&gt;1,'Fane 7. Hist. over el. underdæk'!$G$13,0)</f>
        <v>-310846.71666666667</v>
      </c>
      <c r="F21" s="19" t="s">
        <v>4</v>
      </c>
      <c r="G21" s="18">
        <f>E21</f>
        <v>-310846.71666666667</v>
      </c>
      <c r="H21" s="19" t="s">
        <v>4</v>
      </c>
      <c r="I21" s="2"/>
    </row>
    <row r="22" spans="1:9" x14ac:dyDescent="0.25">
      <c r="A22" s="2"/>
      <c r="B22" s="112" t="s">
        <v>107</v>
      </c>
      <c r="C22" s="113"/>
      <c r="D22" s="113"/>
      <c r="E22" s="113"/>
      <c r="F22" s="114"/>
      <c r="G22" s="21">
        <f>G15+G17+G19+G21</f>
        <v>16447758.59297899</v>
      </c>
      <c r="H22" s="22" t="s">
        <v>4</v>
      </c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4">
    <mergeCell ref="B22:F22"/>
    <mergeCell ref="B3:H4"/>
    <mergeCell ref="B8:H8"/>
    <mergeCell ref="B9:D9"/>
    <mergeCell ref="B10:D10"/>
    <mergeCell ref="B12:D12"/>
    <mergeCell ref="B13:D13"/>
    <mergeCell ref="B15:D15"/>
    <mergeCell ref="B20:H20"/>
    <mergeCell ref="B21:D21"/>
    <mergeCell ref="B16:H16"/>
    <mergeCell ref="B17:D17"/>
    <mergeCell ref="B18:H18"/>
    <mergeCell ref="B19:D19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6"/>
  <dimension ref="A1:I26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8" t="s">
        <v>202</v>
      </c>
      <c r="C3" s="98"/>
      <c r="D3" s="98"/>
      <c r="E3" s="98"/>
      <c r="F3" s="98"/>
      <c r="G3" s="98"/>
      <c r="H3" s="98"/>
      <c r="I3" s="2"/>
    </row>
    <row r="4" spans="1:9" ht="15" customHeight="1" x14ac:dyDescent="0.25">
      <c r="A4" s="2"/>
      <c r="B4" s="98"/>
      <c r="C4" s="98"/>
      <c r="D4" s="98"/>
      <c r="E4" s="98"/>
      <c r="F4" s="98"/>
      <c r="G4" s="98"/>
      <c r="H4" s="9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12" t="s">
        <v>56</v>
      </c>
      <c r="C8" s="113"/>
      <c r="D8" s="113"/>
      <c r="E8" s="113"/>
      <c r="F8" s="113"/>
      <c r="G8" s="113"/>
      <c r="H8" s="114"/>
      <c r="I8" s="2"/>
    </row>
    <row r="9" spans="1:9" x14ac:dyDescent="0.25">
      <c r="A9" s="2"/>
      <c r="B9" s="99" t="s">
        <v>203</v>
      </c>
      <c r="C9" s="100"/>
      <c r="D9" s="101"/>
      <c r="E9" s="8">
        <f>'Fane 2.2. Økonomisk ramme 2019'!G15-'Fane 2.2. Økonomisk ramme 2019'!E11*(1+0.0175)*(1-0.02-'Fane 5. Individuelt eff.krav'!G11/100)</f>
        <v>17095006.240945656</v>
      </c>
      <c r="F9" s="9" t="s">
        <v>4</v>
      </c>
      <c r="G9" s="10"/>
      <c r="H9" s="11"/>
      <c r="I9" s="2"/>
    </row>
    <row r="10" spans="1:9" x14ac:dyDescent="0.25">
      <c r="A10" s="2"/>
      <c r="B10" s="108" t="s">
        <v>46</v>
      </c>
      <c r="C10" s="115"/>
      <c r="D10" s="116"/>
      <c r="E10" s="12">
        <f>(SUM('Fane 2.1. Økonomisk ramme 2018'!E10:E11,'Fane 2.1. Økonomisk ramme 2018'!E16))*(1+'Fane 2.1. Økonomisk ramme 2018'!E19/100)^2</f>
        <v>3193425.0885210247</v>
      </c>
      <c r="F10" s="9" t="s">
        <v>4</v>
      </c>
      <c r="G10" s="13"/>
      <c r="H10" s="14"/>
      <c r="I10" s="2"/>
    </row>
    <row r="11" spans="1:9" x14ac:dyDescent="0.25">
      <c r="A11" s="2"/>
      <c r="B11" s="70" t="s">
        <v>169</v>
      </c>
      <c r="C11" s="71"/>
      <c r="D11" s="72"/>
      <c r="E11" s="73">
        <v>78162</v>
      </c>
      <c r="F11" s="9" t="s">
        <v>4</v>
      </c>
      <c r="G11" s="13"/>
      <c r="H11" s="14"/>
      <c r="I11" s="2"/>
    </row>
    <row r="12" spans="1:9" x14ac:dyDescent="0.25">
      <c r="A12" s="2"/>
      <c r="B12" s="102" t="s">
        <v>61</v>
      </c>
      <c r="C12" s="103"/>
      <c r="D12" s="104"/>
      <c r="E12" s="12">
        <f>($E$9+E11)*'Fane 2.1. Økonomisk ramme 2018'!E19/100</f>
        <v>300530.44421654899</v>
      </c>
      <c r="F12" s="9" t="s">
        <v>4</v>
      </c>
      <c r="G12" s="15"/>
      <c r="H12" s="14"/>
      <c r="I12" s="2"/>
    </row>
    <row r="13" spans="1:9" x14ac:dyDescent="0.25">
      <c r="A13" s="2"/>
      <c r="B13" s="102" t="s">
        <v>15</v>
      </c>
      <c r="C13" s="103"/>
      <c r="D13" s="104"/>
      <c r="E13" s="12">
        <f>($E$9-$E$10)*(1+'Fane 2.1. Økonomisk ramme 2018'!E19/100)*'Fane 5. Individuelt eff.krav'!$G$11/100</f>
        <v>0</v>
      </c>
      <c r="F13" s="9" t="s">
        <v>4</v>
      </c>
      <c r="G13" s="15"/>
      <c r="H13" s="14"/>
      <c r="I13" s="2"/>
    </row>
    <row r="14" spans="1:9" x14ac:dyDescent="0.25">
      <c r="A14" s="2"/>
      <c r="B14" s="69" t="s">
        <v>16</v>
      </c>
      <c r="C14" s="67"/>
      <c r="D14" s="68"/>
      <c r="E14" s="12">
        <f>(('Fane 6. Generelt eff.krav'!G12/('Fane 6. Generelt eff.krav'!G11/100)-'Fane 6. Generelt eff.krav'!G12)+E11)*(1+'Fane 2.1. Økonomisk ramme 2018'!E19/100)^2*(1-'Fane 6. Generelt eff.krav'!G11/100)*'Fane 6. Generelt eff.krav'!G11/100+(('Fane 6. Generelt eff.krav'!G16/('Fane 6. Generelt eff.krav'!G15/100))-'Fane 6. Generelt eff.krav'!G16)*(1+'Fane 2.1. Økonomisk ramme 2018'!E19/100)^2*(1-'Fane 6. Generelt eff.krav'!G15/100)*'Fane 6. Generelt eff.krav'!G15/100</f>
        <v>278707.36989034456</v>
      </c>
      <c r="F14" s="9" t="s">
        <v>4</v>
      </c>
      <c r="G14" s="16"/>
      <c r="H14" s="17"/>
      <c r="I14" s="2"/>
    </row>
    <row r="15" spans="1:9" x14ac:dyDescent="0.25">
      <c r="A15" s="2"/>
      <c r="B15" s="109" t="s">
        <v>179</v>
      </c>
      <c r="C15" s="110"/>
      <c r="D15" s="111"/>
      <c r="E15" s="18">
        <f>$E$9+$E$12-$E$13-$E$14+E11</f>
        <v>17194991.315271862</v>
      </c>
      <c r="F15" s="19" t="s">
        <v>4</v>
      </c>
      <c r="G15" s="18">
        <f>E15</f>
        <v>17194991.315271862</v>
      </c>
      <c r="H15" s="19" t="s">
        <v>4</v>
      </c>
      <c r="I15" s="2"/>
    </row>
    <row r="16" spans="1:9" x14ac:dyDescent="0.25">
      <c r="A16" s="2"/>
      <c r="B16" s="112" t="s">
        <v>191</v>
      </c>
      <c r="C16" s="113"/>
      <c r="D16" s="113"/>
      <c r="E16" s="113"/>
      <c r="F16" s="113"/>
      <c r="G16" s="113"/>
      <c r="H16" s="114"/>
      <c r="I16" s="2"/>
    </row>
    <row r="17" spans="1:9" x14ac:dyDescent="0.25">
      <c r="A17" s="2"/>
      <c r="B17" s="105" t="s">
        <v>193</v>
      </c>
      <c r="C17" s="106"/>
      <c r="D17" s="107"/>
      <c r="E17" s="18">
        <f>-'Fane 13. Driftsunderskud'!G10</f>
        <v>-1000000</v>
      </c>
      <c r="F17" s="19" t="s">
        <v>4</v>
      </c>
      <c r="G17" s="18">
        <f>E17</f>
        <v>-1000000</v>
      </c>
      <c r="H17" s="19" t="s">
        <v>4</v>
      </c>
      <c r="I17" s="2"/>
    </row>
    <row r="18" spans="1:9" x14ac:dyDescent="0.25">
      <c r="A18" s="2"/>
      <c r="B18" s="112" t="s">
        <v>197</v>
      </c>
      <c r="C18" s="113"/>
      <c r="D18" s="113"/>
      <c r="E18" s="113"/>
      <c r="F18" s="113"/>
      <c r="G18" s="113"/>
      <c r="H18" s="114"/>
      <c r="I18" s="2"/>
    </row>
    <row r="19" spans="1:9" x14ac:dyDescent="0.25">
      <c r="A19" s="2"/>
      <c r="B19" s="105" t="s">
        <v>197</v>
      </c>
      <c r="C19" s="106"/>
      <c r="D19" s="107"/>
      <c r="E19" s="18">
        <v>1486000</v>
      </c>
      <c r="F19" s="19" t="s">
        <v>4</v>
      </c>
      <c r="G19" s="18">
        <f>E19</f>
        <v>1486000</v>
      </c>
      <c r="H19" s="19" t="s">
        <v>4</v>
      </c>
      <c r="I19" s="2"/>
    </row>
    <row r="20" spans="1:9" x14ac:dyDescent="0.25">
      <c r="A20" s="2"/>
      <c r="B20" s="112" t="s">
        <v>17</v>
      </c>
      <c r="C20" s="113"/>
      <c r="D20" s="113"/>
      <c r="E20" s="113"/>
      <c r="F20" s="113"/>
      <c r="G20" s="113"/>
      <c r="H20" s="114"/>
      <c r="I20" s="2"/>
    </row>
    <row r="21" spans="1:9" ht="15" customHeight="1" x14ac:dyDescent="0.25">
      <c r="A21" s="2"/>
      <c r="B21" s="105" t="s">
        <v>55</v>
      </c>
      <c r="C21" s="106"/>
      <c r="D21" s="107"/>
      <c r="E21" s="18">
        <f>IF('Fane 7. Hist. over el. underdæk'!$G$12&gt;2,'Fane 7. Hist. over el. underdæk'!$G$13,0)</f>
        <v>0</v>
      </c>
      <c r="F21" s="19" t="s">
        <v>4</v>
      </c>
      <c r="G21" s="18">
        <f>E21</f>
        <v>0</v>
      </c>
      <c r="H21" s="19" t="s">
        <v>4</v>
      </c>
      <c r="I21" s="2"/>
    </row>
    <row r="22" spans="1:9" x14ac:dyDescent="0.25">
      <c r="A22" s="2"/>
      <c r="B22" s="112" t="s">
        <v>204</v>
      </c>
      <c r="C22" s="113"/>
      <c r="D22" s="113"/>
      <c r="E22" s="113"/>
      <c r="F22" s="114"/>
      <c r="G22" s="21">
        <f>G15+G21+G17+G19</f>
        <v>17680991.315271862</v>
      </c>
      <c r="H22" s="22" t="s">
        <v>4</v>
      </c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  <row r="25" spans="1:9" x14ac:dyDescent="0.25">
      <c r="A25" s="2"/>
      <c r="B25" s="2"/>
      <c r="C25" s="2"/>
      <c r="D25" s="2"/>
      <c r="E25" s="2"/>
      <c r="F25" s="2"/>
      <c r="G25" s="2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</sheetData>
  <sheetProtection password="DFE9" sheet="1" objects="1" scenarios="1"/>
  <mergeCells count="14">
    <mergeCell ref="B15:D15"/>
    <mergeCell ref="B20:H20"/>
    <mergeCell ref="B21:D21"/>
    <mergeCell ref="B22:F22"/>
    <mergeCell ref="B3:H4"/>
    <mergeCell ref="B8:H8"/>
    <mergeCell ref="B9:D9"/>
    <mergeCell ref="B10:D10"/>
    <mergeCell ref="B12:D12"/>
    <mergeCell ref="B13:D13"/>
    <mergeCell ref="B16:H16"/>
    <mergeCell ref="B17:D17"/>
    <mergeCell ref="B18:H18"/>
    <mergeCell ref="B19:D19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17"/>
  <dimension ref="A1:I22"/>
  <sheetViews>
    <sheetView showGridLines="0" view="pageLayout" zoomScaleNormal="100" workbookViewId="0"/>
  </sheetViews>
  <sheetFormatPr defaultRowHeight="15" x14ac:dyDescent="0.25"/>
  <cols>
    <col min="1" max="1" width="5.140625" style="3" customWidth="1"/>
    <col min="2" max="3" width="9.140625" style="3"/>
    <col min="4" max="4" width="27" style="3" customWidth="1"/>
    <col min="5" max="5" width="10.28515625" style="3" customWidth="1"/>
    <col min="6" max="6" width="3.28515625" style="3" customWidth="1"/>
    <col min="7" max="7" width="11.28515625" style="3" customWidth="1"/>
    <col min="8" max="8" width="3.28515625" style="3" customWidth="1"/>
    <col min="9" max="9" width="5.14062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8" t="s">
        <v>205</v>
      </c>
      <c r="C3" s="98"/>
      <c r="D3" s="98"/>
      <c r="E3" s="98"/>
      <c r="F3" s="98"/>
      <c r="G3" s="98"/>
      <c r="H3" s="98"/>
      <c r="I3" s="2"/>
    </row>
    <row r="4" spans="1:9" ht="15" customHeight="1" x14ac:dyDescent="0.25">
      <c r="A4" s="2"/>
      <c r="B4" s="98"/>
      <c r="C4" s="98"/>
      <c r="D4" s="98"/>
      <c r="E4" s="98"/>
      <c r="F4" s="98"/>
      <c r="G4" s="98"/>
      <c r="H4" s="9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12" t="s">
        <v>56</v>
      </c>
      <c r="C8" s="113"/>
      <c r="D8" s="113"/>
      <c r="E8" s="113"/>
      <c r="F8" s="113"/>
      <c r="G8" s="113"/>
      <c r="H8" s="114"/>
      <c r="I8" s="2"/>
    </row>
    <row r="9" spans="1:9" x14ac:dyDescent="0.25">
      <c r="A9" s="2"/>
      <c r="B9" s="99" t="s">
        <v>206</v>
      </c>
      <c r="C9" s="100"/>
      <c r="D9" s="101"/>
      <c r="E9" s="8">
        <f>'Fane 2.3. Økonomisk ramme 2020'!G15-'Fane 2.3. Økonomisk ramme 2020'!E11*(1+0.0175)*(1-0.02-'Fane 5. Individuelt eff.krav'!G11/100)</f>
        <v>17117052.076971862</v>
      </c>
      <c r="F9" s="9" t="s">
        <v>4</v>
      </c>
      <c r="G9" s="10"/>
      <c r="H9" s="11"/>
      <c r="I9" s="2"/>
    </row>
    <row r="10" spans="1:9" x14ac:dyDescent="0.25">
      <c r="A10" s="2"/>
      <c r="B10" s="108" t="s">
        <v>46</v>
      </c>
      <c r="C10" s="115"/>
      <c r="D10" s="116"/>
      <c r="E10" s="12">
        <f>(SUM('Fane 2.1. Økonomisk ramme 2018'!E10:E11,'Fane 2.1. Økonomisk ramme 2018'!E16))*(1+'Fane 2.1. Økonomisk ramme 2018'!E19/100)^3</f>
        <v>3249310.0275701429</v>
      </c>
      <c r="F10" s="9" t="s">
        <v>4</v>
      </c>
      <c r="G10" s="13"/>
      <c r="H10" s="14"/>
      <c r="I10" s="2"/>
    </row>
    <row r="11" spans="1:9" x14ac:dyDescent="0.25">
      <c r="A11" s="2"/>
      <c r="B11" s="70" t="s">
        <v>169</v>
      </c>
      <c r="C11" s="71"/>
      <c r="D11" s="72"/>
      <c r="E11" s="73">
        <v>79530</v>
      </c>
      <c r="F11" s="9" t="s">
        <v>4</v>
      </c>
      <c r="G11" s="13"/>
      <c r="H11" s="14"/>
      <c r="I11" s="2"/>
    </row>
    <row r="12" spans="1:9" x14ac:dyDescent="0.25">
      <c r="A12" s="2"/>
      <c r="B12" s="102" t="s">
        <v>61</v>
      </c>
      <c r="C12" s="103"/>
      <c r="D12" s="104"/>
      <c r="E12" s="12">
        <f>($E$9+E11)*'Fane 2.1. Økonomisk ramme 2018'!E19/100</f>
        <v>300940.18634700758</v>
      </c>
      <c r="F12" s="9" t="s">
        <v>4</v>
      </c>
      <c r="G12" s="15"/>
      <c r="H12" s="14"/>
      <c r="I12" s="2"/>
    </row>
    <row r="13" spans="1:9" x14ac:dyDescent="0.25">
      <c r="A13" s="2"/>
      <c r="B13" s="102" t="s">
        <v>15</v>
      </c>
      <c r="C13" s="103"/>
      <c r="D13" s="104"/>
      <c r="E13" s="12">
        <f>($E$9-$E$10)*(1+'Fane 2.1. Økonomisk ramme 2018'!E19/100)*'Fane 5. Individuelt eff.krav'!$G$11/100</f>
        <v>0</v>
      </c>
      <c r="F13" s="9" t="s">
        <v>4</v>
      </c>
      <c r="G13" s="15"/>
      <c r="H13" s="14"/>
      <c r="I13" s="2"/>
    </row>
    <row r="14" spans="1:9" x14ac:dyDescent="0.25">
      <c r="A14" s="2"/>
      <c r="B14" s="69" t="s">
        <v>16</v>
      </c>
      <c r="C14" s="67"/>
      <c r="D14" s="68"/>
      <c r="E14" s="12">
        <f>(('Fane 6. Generelt eff.krav'!G12/('Fane 6. Generelt eff.krav'!G11/100)-'Fane 6. Generelt eff.krav'!G12)+E11)*(1+'Fane 2.1. Økonomisk ramme 2018'!E19/100)^3*(1-'Fane 6. Generelt eff.krav'!G11/100)^2*'Fane 6. Generelt eff.krav'!G11/100+(('Fane 6. Generelt eff.krav'!G16/('Fane 6. Generelt eff.krav'!G15/100))-'Fane 6. Generelt eff.krav'!G16)*(1+'Fane 2.1. Økonomisk ramme 2018'!E19/100)^3*(1-'Fane 6. Generelt eff.krav'!G15/100)^2*'Fane 6. Generelt eff.krav'!G15/100</f>
        <v>278138.33395138039</v>
      </c>
      <c r="F14" s="9" t="s">
        <v>4</v>
      </c>
      <c r="G14" s="16"/>
      <c r="H14" s="17"/>
      <c r="I14" s="2"/>
    </row>
    <row r="15" spans="1:9" x14ac:dyDescent="0.25">
      <c r="A15" s="2"/>
      <c r="B15" s="109" t="s">
        <v>179</v>
      </c>
      <c r="C15" s="110"/>
      <c r="D15" s="111"/>
      <c r="E15" s="18">
        <f>$E$9+$E$12-$E$13-$E$14+E11</f>
        <v>17219383.92936749</v>
      </c>
      <c r="F15" s="19" t="s">
        <v>4</v>
      </c>
      <c r="G15" s="18">
        <f>E15</f>
        <v>17219383.92936749</v>
      </c>
      <c r="H15" s="19" t="s">
        <v>4</v>
      </c>
      <c r="I15" s="2"/>
    </row>
    <row r="16" spans="1:9" x14ac:dyDescent="0.25">
      <c r="A16" s="2"/>
      <c r="B16" s="112" t="s">
        <v>197</v>
      </c>
      <c r="C16" s="113"/>
      <c r="D16" s="113"/>
      <c r="E16" s="113"/>
      <c r="F16" s="113"/>
      <c r="G16" s="113"/>
      <c r="H16" s="114"/>
      <c r="I16" s="2"/>
    </row>
    <row r="17" spans="1:9" x14ac:dyDescent="0.25">
      <c r="A17" s="2"/>
      <c r="B17" s="105" t="s">
        <v>197</v>
      </c>
      <c r="C17" s="106"/>
      <c r="D17" s="107"/>
      <c r="E17" s="18">
        <v>1924000</v>
      </c>
      <c r="F17" s="19" t="s">
        <v>4</v>
      </c>
      <c r="G17" s="18">
        <f>E17</f>
        <v>1924000</v>
      </c>
      <c r="H17" s="19" t="s">
        <v>4</v>
      </c>
      <c r="I17" s="2"/>
    </row>
    <row r="18" spans="1:9" x14ac:dyDescent="0.25">
      <c r="A18" s="2"/>
      <c r="B18" s="112" t="s">
        <v>207</v>
      </c>
      <c r="C18" s="113"/>
      <c r="D18" s="113"/>
      <c r="E18" s="113"/>
      <c r="F18" s="114"/>
      <c r="G18" s="21">
        <f>G15+G17</f>
        <v>19143383.92936749</v>
      </c>
      <c r="H18" s="22" t="s">
        <v>4</v>
      </c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  <row r="22" spans="1:9" x14ac:dyDescent="0.25">
      <c r="A22" s="2"/>
      <c r="B22" s="2"/>
      <c r="C22" s="2"/>
      <c r="D22" s="2"/>
      <c r="E22" s="2"/>
      <c r="F22" s="2"/>
      <c r="G22" s="2"/>
      <c r="H22" s="2"/>
      <c r="I22" s="2"/>
    </row>
  </sheetData>
  <sheetProtection password="DFE9" sheet="1" objects="1" scenarios="1"/>
  <mergeCells count="10">
    <mergeCell ref="B15:D15"/>
    <mergeCell ref="B18:F18"/>
    <mergeCell ref="B3:H4"/>
    <mergeCell ref="B8:H8"/>
    <mergeCell ref="B9:D9"/>
    <mergeCell ref="B10:D10"/>
    <mergeCell ref="B12:D12"/>
    <mergeCell ref="B13:D13"/>
    <mergeCell ref="B16:H16"/>
    <mergeCell ref="B17:D17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6"/>
  <dimension ref="A1:I27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15.140625" style="3" customWidth="1"/>
    <col min="5" max="5" width="9.140625" style="3"/>
    <col min="6" max="6" width="14.28515625" style="3" customWidth="1"/>
    <col min="7" max="7" width="10.57031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117" t="s">
        <v>139</v>
      </c>
      <c r="C3" s="117"/>
      <c r="D3" s="117"/>
      <c r="E3" s="117"/>
      <c r="F3" s="117"/>
      <c r="G3" s="117"/>
      <c r="H3" s="117"/>
      <c r="I3" s="2"/>
    </row>
    <row r="4" spans="1:9" ht="29.25" customHeight="1" x14ac:dyDescent="0.25">
      <c r="A4" s="2"/>
      <c r="B4" s="117"/>
      <c r="C4" s="117"/>
      <c r="D4" s="117"/>
      <c r="E4" s="117"/>
      <c r="F4" s="117"/>
      <c r="G4" s="117"/>
      <c r="H4" s="117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12" t="s">
        <v>141</v>
      </c>
      <c r="C8" s="113"/>
      <c r="D8" s="113"/>
      <c r="E8" s="113"/>
      <c r="F8" s="113"/>
      <c r="G8" s="113"/>
      <c r="H8" s="114"/>
      <c r="I8" s="2"/>
    </row>
    <row r="9" spans="1:9" x14ac:dyDescent="0.25">
      <c r="A9" s="2"/>
      <c r="B9" s="102" t="s">
        <v>110</v>
      </c>
      <c r="C9" s="103"/>
      <c r="D9" s="103"/>
      <c r="E9" s="103"/>
      <c r="F9" s="104"/>
      <c r="G9" s="27">
        <v>9465490.150082238</v>
      </c>
      <c r="H9" s="23" t="s">
        <v>4</v>
      </c>
      <c r="I9" s="2"/>
    </row>
    <row r="10" spans="1:9" x14ac:dyDescent="0.25">
      <c r="A10" s="2"/>
      <c r="B10" s="102" t="s">
        <v>111</v>
      </c>
      <c r="C10" s="103"/>
      <c r="D10" s="103"/>
      <c r="E10" s="103"/>
      <c r="F10" s="104"/>
      <c r="G10" s="27">
        <v>4733456.6621870361</v>
      </c>
      <c r="H10" s="23" t="s">
        <v>4</v>
      </c>
      <c r="I10" s="2"/>
    </row>
    <row r="11" spans="1:9" x14ac:dyDescent="0.25">
      <c r="A11" s="2"/>
      <c r="B11" s="102" t="s">
        <v>138</v>
      </c>
      <c r="C11" s="103"/>
      <c r="D11" s="103"/>
      <c r="E11" s="103"/>
      <c r="F11" s="104"/>
      <c r="G11" s="27">
        <v>3547136.8417643597</v>
      </c>
      <c r="H11" s="23" t="s">
        <v>4</v>
      </c>
      <c r="I11" s="2"/>
    </row>
    <row r="12" spans="1:9" ht="17.25" customHeight="1" x14ac:dyDescent="0.25">
      <c r="A12" s="2"/>
      <c r="B12" s="118" t="s">
        <v>143</v>
      </c>
      <c r="C12" s="119"/>
      <c r="D12" s="119"/>
      <c r="E12" s="119"/>
      <c r="F12" s="120"/>
      <c r="G12" s="21">
        <f>SUM(G9:G11)</f>
        <v>17746083.654033635</v>
      </c>
      <c r="H12" s="22" t="s">
        <v>4</v>
      </c>
      <c r="I12" s="2"/>
    </row>
    <row r="13" spans="1:9" x14ac:dyDescent="0.25">
      <c r="A13" s="2"/>
      <c r="B13" s="24"/>
      <c r="C13" s="24"/>
      <c r="D13" s="24"/>
      <c r="E13" s="24"/>
      <c r="F13" s="24"/>
      <c r="G13" s="24"/>
      <c r="H13" s="24"/>
      <c r="I13" s="2"/>
    </row>
    <row r="14" spans="1:9" x14ac:dyDescent="0.25">
      <c r="A14" s="2"/>
      <c r="B14" s="25" t="s">
        <v>50</v>
      </c>
      <c r="C14" s="24"/>
      <c r="D14" s="24"/>
      <c r="E14" s="24"/>
      <c r="F14" s="24"/>
      <c r="G14" s="24"/>
      <c r="H14" s="24"/>
      <c r="I14" s="2"/>
    </row>
    <row r="15" spans="1:9" x14ac:dyDescent="0.25">
      <c r="A15" s="2"/>
      <c r="B15" s="25" t="s">
        <v>136</v>
      </c>
      <c r="C15" s="24"/>
      <c r="D15" s="24"/>
      <c r="E15" s="24"/>
      <c r="F15" s="24"/>
      <c r="G15" s="24"/>
      <c r="H15" s="24"/>
      <c r="I15" s="2"/>
    </row>
    <row r="16" spans="1:9" x14ac:dyDescent="0.25">
      <c r="A16" s="2"/>
      <c r="B16" s="25" t="s">
        <v>137</v>
      </c>
      <c r="C16" s="2"/>
      <c r="D16" s="2"/>
      <c r="E16" s="2"/>
      <c r="F16" s="2"/>
      <c r="G16" s="24"/>
      <c r="H16" s="2"/>
      <c r="I16" s="2"/>
    </row>
    <row r="17" spans="1:9" x14ac:dyDescent="0.25">
      <c r="A17" s="2"/>
      <c r="B17" s="25"/>
      <c r="C17" s="2"/>
      <c r="D17" s="2"/>
      <c r="E17" s="2"/>
      <c r="F17" s="2"/>
      <c r="G17" s="24"/>
      <c r="H17" s="2"/>
      <c r="I17" s="2"/>
    </row>
    <row r="18" spans="1:9" x14ac:dyDescent="0.25">
      <c r="A18" s="2"/>
      <c r="B18" s="25"/>
      <c r="C18" s="2"/>
      <c r="D18" s="2"/>
      <c r="E18" s="2"/>
      <c r="F18" s="2"/>
      <c r="G18" s="24"/>
      <c r="H18" s="2"/>
      <c r="I18" s="2"/>
    </row>
    <row r="19" spans="1:9" x14ac:dyDescent="0.25">
      <c r="A19" s="2"/>
      <c r="B19" s="112" t="s">
        <v>169</v>
      </c>
      <c r="C19" s="113"/>
      <c r="D19" s="113"/>
      <c r="E19" s="113"/>
      <c r="F19" s="113"/>
      <c r="G19" s="113"/>
      <c r="H19" s="114"/>
      <c r="I19" s="2"/>
    </row>
    <row r="20" spans="1:9" x14ac:dyDescent="0.25">
      <c r="A20" s="2"/>
      <c r="B20" s="102" t="s">
        <v>170</v>
      </c>
      <c r="C20" s="103"/>
      <c r="D20" s="103"/>
      <c r="E20" s="103"/>
      <c r="F20" s="104"/>
      <c r="G20" s="27">
        <v>251655</v>
      </c>
      <c r="H20" s="23" t="s">
        <v>4</v>
      </c>
      <c r="I20" s="2"/>
    </row>
    <row r="21" spans="1:9" x14ac:dyDescent="0.25">
      <c r="A21" s="2"/>
      <c r="B21" s="102" t="s">
        <v>171</v>
      </c>
      <c r="C21" s="103"/>
      <c r="D21" s="103"/>
      <c r="E21" s="103"/>
      <c r="F21" s="104"/>
      <c r="G21" s="27">
        <v>0</v>
      </c>
      <c r="H21" s="23" t="s">
        <v>4</v>
      </c>
      <c r="I21" s="2"/>
    </row>
    <row r="22" spans="1:9" x14ac:dyDescent="0.25">
      <c r="A22" s="2"/>
      <c r="B22" s="118" t="s">
        <v>172</v>
      </c>
      <c r="C22" s="119"/>
      <c r="D22" s="119"/>
      <c r="E22" s="119"/>
      <c r="F22" s="120"/>
      <c r="G22" s="21">
        <f>SUM(G20:G21)</f>
        <v>251655</v>
      </c>
      <c r="H22" s="22" t="s">
        <v>4</v>
      </c>
      <c r="I22" s="2"/>
    </row>
    <row r="23" spans="1:9" x14ac:dyDescent="0.25">
      <c r="A23" s="2"/>
      <c r="B23" s="25"/>
      <c r="C23" s="2"/>
      <c r="D23" s="2"/>
      <c r="E23" s="2"/>
      <c r="F23" s="2"/>
      <c r="G23" s="24"/>
      <c r="H23" s="2"/>
      <c r="I23" s="2"/>
    </row>
    <row r="24" spans="1:9" x14ac:dyDescent="0.25">
      <c r="A24" s="2"/>
      <c r="B24" s="25"/>
      <c r="C24" s="2"/>
      <c r="D24" s="2"/>
      <c r="E24" s="2"/>
      <c r="F24" s="2"/>
      <c r="G24" s="24"/>
      <c r="H24" s="2"/>
      <c r="I24" s="2"/>
    </row>
    <row r="25" spans="1:9" x14ac:dyDescent="0.25">
      <c r="A25" s="2"/>
      <c r="B25" s="25"/>
      <c r="C25" s="2"/>
      <c r="D25" s="2"/>
      <c r="E25" s="2"/>
      <c r="F25" s="2"/>
      <c r="G25" s="24"/>
      <c r="H25" s="2"/>
      <c r="I25" s="2"/>
    </row>
    <row r="26" spans="1:9" x14ac:dyDescent="0.25">
      <c r="A26" s="2"/>
      <c r="B26" s="2"/>
      <c r="C26" s="2"/>
      <c r="D26" s="2"/>
      <c r="E26" s="2"/>
      <c r="F26" s="2"/>
      <c r="G26" s="2"/>
      <c r="H26" s="2"/>
      <c r="I26" s="2"/>
    </row>
    <row r="27" spans="1:9" x14ac:dyDescent="0.25">
      <c r="A27" s="2"/>
      <c r="B27" s="2"/>
      <c r="C27" s="2"/>
      <c r="D27" s="2"/>
      <c r="E27" s="2"/>
      <c r="F27" s="2"/>
      <c r="G27" s="2"/>
      <c r="H27" s="2"/>
      <c r="I27" s="2"/>
    </row>
  </sheetData>
  <sheetProtection password="DFE9" sheet="1" objects="1" scenarios="1"/>
  <mergeCells count="10">
    <mergeCell ref="B19:H19"/>
    <mergeCell ref="B20:F20"/>
    <mergeCell ref="B21:F21"/>
    <mergeCell ref="B22:F22"/>
    <mergeCell ref="B12:F12"/>
    <mergeCell ref="B8:H8"/>
    <mergeCell ref="B3:H4"/>
    <mergeCell ref="B11:F11"/>
    <mergeCell ref="B10:F10"/>
    <mergeCell ref="B9:F9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5"/>
  <dimension ref="A1:I24"/>
  <sheetViews>
    <sheetView showGridLines="0" view="pageLayout" zoomScaleNormal="100" workbookViewId="0"/>
  </sheetViews>
  <sheetFormatPr defaultColWidth="9.140625" defaultRowHeight="15" x14ac:dyDescent="0.25"/>
  <cols>
    <col min="1" max="1" width="7.85546875" style="3" customWidth="1"/>
    <col min="2" max="3" width="9.140625" style="3"/>
    <col min="4" max="4" width="21.140625" style="3" customWidth="1"/>
    <col min="5" max="5" width="12" style="3" customWidth="1"/>
    <col min="6" max="6" width="3.28515625" style="3" customWidth="1"/>
    <col min="7" max="7" width="12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8" t="s">
        <v>112</v>
      </c>
      <c r="C3" s="98"/>
      <c r="D3" s="98"/>
      <c r="E3" s="98"/>
      <c r="F3" s="98"/>
      <c r="G3" s="98"/>
      <c r="H3" s="98"/>
      <c r="I3" s="2"/>
    </row>
    <row r="4" spans="1:9" ht="15" customHeight="1" x14ac:dyDescent="0.25">
      <c r="A4" s="2"/>
      <c r="B4" s="98"/>
      <c r="C4" s="98"/>
      <c r="D4" s="98"/>
      <c r="E4" s="98"/>
      <c r="F4" s="98"/>
      <c r="G4" s="98"/>
      <c r="H4" s="9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12" t="s">
        <v>113</v>
      </c>
      <c r="C8" s="113"/>
      <c r="D8" s="113"/>
      <c r="E8" s="113"/>
      <c r="F8" s="113"/>
      <c r="G8" s="113"/>
      <c r="H8" s="114"/>
      <c r="I8" s="2"/>
    </row>
    <row r="9" spans="1:9" ht="51.75" customHeight="1" x14ac:dyDescent="0.25">
      <c r="A9" s="2"/>
      <c r="B9" s="105" t="s">
        <v>115</v>
      </c>
      <c r="C9" s="106"/>
      <c r="D9" s="107"/>
      <c r="E9" s="19" t="s">
        <v>114</v>
      </c>
      <c r="F9" s="19"/>
      <c r="G9" s="19" t="s">
        <v>140</v>
      </c>
      <c r="H9" s="19"/>
      <c r="I9" s="2"/>
    </row>
    <row r="10" spans="1:9" x14ac:dyDescent="0.25">
      <c r="A10" s="2"/>
      <c r="B10" s="121" t="s">
        <v>161</v>
      </c>
      <c r="C10" s="122"/>
      <c r="D10" s="122"/>
      <c r="E10" s="56">
        <v>0</v>
      </c>
      <c r="F10" s="23" t="s">
        <v>4</v>
      </c>
      <c r="G10" s="27">
        <v>0</v>
      </c>
      <c r="H10" s="23" t="s">
        <v>4</v>
      </c>
      <c r="I10" s="2"/>
    </row>
    <row r="11" spans="1:9" x14ac:dyDescent="0.25">
      <c r="A11" s="2"/>
      <c r="B11" s="121" t="s">
        <v>162</v>
      </c>
      <c r="C11" s="122"/>
      <c r="D11" s="122"/>
      <c r="E11" s="56">
        <v>0</v>
      </c>
      <c r="F11" s="23" t="s">
        <v>4</v>
      </c>
      <c r="G11" s="27">
        <v>0</v>
      </c>
      <c r="H11" s="23" t="s">
        <v>4</v>
      </c>
      <c r="I11" s="2"/>
    </row>
    <row r="12" spans="1:9" x14ac:dyDescent="0.25">
      <c r="A12" s="2"/>
      <c r="B12" s="121" t="s">
        <v>163</v>
      </c>
      <c r="C12" s="122"/>
      <c r="D12" s="122"/>
      <c r="E12" s="56">
        <v>0</v>
      </c>
      <c r="F12" s="23" t="s">
        <v>4</v>
      </c>
      <c r="G12" s="27">
        <v>0</v>
      </c>
      <c r="H12" s="23" t="s">
        <v>4</v>
      </c>
      <c r="I12" s="2"/>
    </row>
    <row r="13" spans="1:9" x14ac:dyDescent="0.25">
      <c r="A13" s="2"/>
      <c r="B13" s="121" t="s">
        <v>164</v>
      </c>
      <c r="C13" s="122"/>
      <c r="D13" s="122"/>
      <c r="E13" s="56">
        <v>32399.4126</v>
      </c>
      <c r="F13" s="23" t="s">
        <v>4</v>
      </c>
      <c r="G13" s="27">
        <v>54760</v>
      </c>
      <c r="H13" s="23" t="s">
        <v>4</v>
      </c>
      <c r="I13" s="2"/>
    </row>
    <row r="14" spans="1:9" x14ac:dyDescent="0.25">
      <c r="A14" s="2"/>
      <c r="B14" s="121" t="s">
        <v>165</v>
      </c>
      <c r="C14" s="122"/>
      <c r="D14" s="122"/>
      <c r="E14" s="56">
        <v>0</v>
      </c>
      <c r="F14" s="23" t="s">
        <v>4</v>
      </c>
      <c r="G14" s="27">
        <v>0</v>
      </c>
      <c r="H14" s="23" t="s">
        <v>4</v>
      </c>
      <c r="I14" s="2"/>
    </row>
    <row r="15" spans="1:9" x14ac:dyDescent="0.25">
      <c r="A15" s="2"/>
      <c r="B15" s="121" t="s">
        <v>166</v>
      </c>
      <c r="C15" s="122"/>
      <c r="D15" s="122"/>
      <c r="E15" s="56">
        <v>1278613.7342000001</v>
      </c>
      <c r="F15" s="23" t="s">
        <v>4</v>
      </c>
      <c r="G15" s="27">
        <v>1046948</v>
      </c>
      <c r="H15" s="23" t="s">
        <v>4</v>
      </c>
      <c r="I15" s="2"/>
    </row>
    <row r="16" spans="1:9" x14ac:dyDescent="0.25">
      <c r="A16" s="2"/>
      <c r="B16" s="121" t="s">
        <v>167</v>
      </c>
      <c r="C16" s="122"/>
      <c r="D16" s="122"/>
      <c r="E16" s="56">
        <v>2191640</v>
      </c>
      <c r="F16" s="23" t="s">
        <v>4</v>
      </c>
      <c r="G16" s="27">
        <v>1946287</v>
      </c>
      <c r="H16" s="23" t="s">
        <v>4</v>
      </c>
      <c r="I16" s="2"/>
    </row>
    <row r="17" spans="1:9" x14ac:dyDescent="0.25">
      <c r="A17" s="2"/>
      <c r="B17" s="121" t="s">
        <v>168</v>
      </c>
      <c r="C17" s="122"/>
      <c r="D17" s="122"/>
      <c r="E17" s="56">
        <v>0</v>
      </c>
      <c r="F17" s="23" t="s">
        <v>4</v>
      </c>
      <c r="G17" s="27">
        <v>0</v>
      </c>
      <c r="H17" s="23" t="s">
        <v>4</v>
      </c>
      <c r="I17" s="2"/>
    </row>
    <row r="18" spans="1:9" x14ac:dyDescent="0.25">
      <c r="A18" s="2"/>
      <c r="B18" s="112" t="s">
        <v>134</v>
      </c>
      <c r="C18" s="113"/>
      <c r="D18" s="113"/>
      <c r="E18" s="113"/>
      <c r="F18" s="114"/>
      <c r="G18" s="21">
        <f>SUM(G10:G17)-SUM(E10:E17)</f>
        <v>-454658.14680000022</v>
      </c>
      <c r="H18" s="22" t="s">
        <v>4</v>
      </c>
      <c r="I18" s="2"/>
    </row>
    <row r="19" spans="1:9" x14ac:dyDescent="0.25">
      <c r="A19" s="2"/>
      <c r="B19" s="112" t="s">
        <v>135</v>
      </c>
      <c r="C19" s="113"/>
      <c r="D19" s="113"/>
      <c r="E19" s="113"/>
      <c r="F19" s="114"/>
      <c r="G19" s="21">
        <f>G18*(1+'Fane 2.1. Økonomisk ramme 2018'!E19/100)</f>
        <v>-462614.66436900024</v>
      </c>
      <c r="H19" s="22" t="s">
        <v>4</v>
      </c>
      <c r="I19" s="2"/>
    </row>
    <row r="20" spans="1:9" x14ac:dyDescent="0.25">
      <c r="A20" s="2"/>
      <c r="B20" s="25"/>
      <c r="C20" s="24"/>
      <c r="D20" s="24"/>
      <c r="E20" s="24"/>
      <c r="F20" s="24"/>
      <c r="G20" s="24"/>
      <c r="H20" s="24"/>
      <c r="I20" s="2"/>
    </row>
    <row r="21" spans="1:9" x14ac:dyDescent="0.25">
      <c r="A21" s="2"/>
      <c r="B21" s="24"/>
      <c r="C21" s="24"/>
      <c r="D21" s="24"/>
      <c r="E21" s="24"/>
      <c r="F21" s="24"/>
      <c r="G21" s="24"/>
      <c r="H21" s="24"/>
      <c r="I21" s="2"/>
    </row>
    <row r="22" spans="1:9" x14ac:dyDescent="0.25">
      <c r="A22" s="2"/>
      <c r="B22" s="2"/>
      <c r="C22" s="2"/>
      <c r="D22" s="2"/>
      <c r="E22" s="2"/>
      <c r="F22" s="2"/>
      <c r="G22" s="24"/>
      <c r="H22" s="2"/>
      <c r="I22" s="2"/>
    </row>
    <row r="23" spans="1:9" x14ac:dyDescent="0.25">
      <c r="A23" s="2"/>
      <c r="B23" s="2"/>
      <c r="C23" s="2"/>
      <c r="D23" s="2"/>
      <c r="E23" s="2"/>
      <c r="F23" s="2"/>
      <c r="G23" s="2"/>
      <c r="H23" s="2"/>
      <c r="I23" s="2"/>
    </row>
    <row r="24" spans="1:9" x14ac:dyDescent="0.25">
      <c r="A24" s="2"/>
      <c r="B24" s="2"/>
      <c r="C24" s="2"/>
      <c r="D24" s="2"/>
      <c r="E24" s="2"/>
      <c r="F24" s="2"/>
      <c r="G24" s="2"/>
      <c r="H24" s="2"/>
      <c r="I24" s="2"/>
    </row>
  </sheetData>
  <sheetProtection password="DFE9" sheet="1" objects="1" scenarios="1"/>
  <mergeCells count="13">
    <mergeCell ref="B19:F19"/>
    <mergeCell ref="B3:H4"/>
    <mergeCell ref="B8:H8"/>
    <mergeCell ref="B18:F18"/>
    <mergeCell ref="B9:D9"/>
    <mergeCell ref="B10:D10"/>
    <mergeCell ref="B11:D11"/>
    <mergeCell ref="B17:D17"/>
    <mergeCell ref="B12:D12"/>
    <mergeCell ref="B13:D13"/>
    <mergeCell ref="B14:D14"/>
    <mergeCell ref="B15:D15"/>
    <mergeCell ref="B16:D16"/>
  </mergeCells>
  <pageMargins left="0.7" right="0.7" top="0.75" bottom="0.75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7"/>
  <dimension ref="A1:I16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5" width="9.140625" style="3"/>
    <col min="6" max="6" width="19.8554687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8" t="s">
        <v>71</v>
      </c>
      <c r="C3" s="98"/>
      <c r="D3" s="98"/>
      <c r="E3" s="98"/>
      <c r="F3" s="98"/>
      <c r="G3" s="98"/>
      <c r="H3" s="98"/>
      <c r="I3" s="2"/>
    </row>
    <row r="4" spans="1:9" ht="15" customHeight="1" x14ac:dyDescent="0.25">
      <c r="A4" s="2"/>
      <c r="B4" s="98"/>
      <c r="C4" s="98"/>
      <c r="D4" s="98"/>
      <c r="E4" s="98"/>
      <c r="F4" s="98"/>
      <c r="G4" s="98"/>
      <c r="H4" s="9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12" t="s">
        <v>15</v>
      </c>
      <c r="C8" s="113"/>
      <c r="D8" s="113"/>
      <c r="E8" s="113"/>
      <c r="F8" s="113"/>
      <c r="G8" s="113"/>
      <c r="H8" s="114"/>
      <c r="I8" s="2"/>
    </row>
    <row r="9" spans="1:9" x14ac:dyDescent="0.25">
      <c r="A9" s="2"/>
      <c r="B9" s="102" t="s">
        <v>51</v>
      </c>
      <c r="C9" s="103"/>
      <c r="D9" s="103"/>
      <c r="E9" s="103"/>
      <c r="F9" s="104"/>
      <c r="G9" s="12">
        <f>'Fane 3. Korrigeret grundlag'!G12-'Fane 3. Korrigeret grundlag'!G11+SUM('Fane 2.1. Økonomisk ramme 2018'!E13:E15,'Fane 2.1. Økonomisk ramme 2018'!E17:E18)</f>
        <v>14450601.812269274</v>
      </c>
      <c r="H9" s="23" t="s">
        <v>4</v>
      </c>
      <c r="I9" s="2"/>
    </row>
    <row r="10" spans="1:9" x14ac:dyDescent="0.25">
      <c r="A10" s="2"/>
      <c r="B10" s="48" t="s">
        <v>188</v>
      </c>
      <c r="C10" s="49"/>
      <c r="D10" s="49"/>
      <c r="E10" s="49"/>
      <c r="F10" s="50"/>
      <c r="G10" s="12">
        <v>-234705.45156329</v>
      </c>
      <c r="H10" s="23" t="s">
        <v>4</v>
      </c>
      <c r="I10" s="2"/>
    </row>
    <row r="11" spans="1:9" x14ac:dyDescent="0.25">
      <c r="A11" s="2"/>
      <c r="B11" s="102" t="s">
        <v>37</v>
      </c>
      <c r="C11" s="103"/>
      <c r="D11" s="103"/>
      <c r="E11" s="103"/>
      <c r="F11" s="104"/>
      <c r="G11" s="29">
        <v>0</v>
      </c>
      <c r="H11" s="23" t="s">
        <v>38</v>
      </c>
      <c r="I11" s="2"/>
    </row>
    <row r="12" spans="1:9" x14ac:dyDescent="0.25">
      <c r="A12" s="2"/>
      <c r="B12" s="112" t="s">
        <v>15</v>
      </c>
      <c r="C12" s="113"/>
      <c r="D12" s="113"/>
      <c r="E12" s="113"/>
      <c r="F12" s="114"/>
      <c r="G12" s="21">
        <f>($G$9+G10)*(1+'Fane 2.1. Økonomisk ramme 2018'!E19/100)*($G$11/100)</f>
        <v>0</v>
      </c>
      <c r="H12" s="22" t="s">
        <v>4</v>
      </c>
      <c r="I12" s="2"/>
    </row>
    <row r="13" spans="1:9" x14ac:dyDescent="0.25">
      <c r="A13" s="2"/>
      <c r="B13" s="2"/>
      <c r="C13" s="2"/>
      <c r="D13" s="2"/>
      <c r="E13" s="2"/>
      <c r="F13" s="2"/>
      <c r="G13" s="2"/>
      <c r="H13" s="2"/>
      <c r="I13" s="2"/>
    </row>
    <row r="14" spans="1:9" x14ac:dyDescent="0.25">
      <c r="A14" s="2"/>
      <c r="B14" s="2"/>
      <c r="C14" s="2"/>
      <c r="D14" s="2"/>
      <c r="E14" s="2"/>
      <c r="F14" s="2"/>
      <c r="G14" s="2"/>
      <c r="H14" s="2"/>
      <c r="I14" s="2"/>
    </row>
    <row r="15" spans="1:9" x14ac:dyDescent="0.25">
      <c r="A15" s="2"/>
      <c r="B15" s="2"/>
      <c r="C15" s="2"/>
      <c r="D15" s="2"/>
      <c r="E15" s="2"/>
      <c r="F15" s="2"/>
      <c r="G15" s="2"/>
      <c r="H15" s="2"/>
      <c r="I15" s="2"/>
    </row>
    <row r="16" spans="1:9" x14ac:dyDescent="0.25">
      <c r="A16" s="2"/>
      <c r="B16" s="2"/>
      <c r="C16" s="2"/>
      <c r="D16" s="2"/>
      <c r="E16" s="2"/>
      <c r="F16" s="2"/>
      <c r="G16" s="2"/>
      <c r="H16" s="2"/>
      <c r="I16" s="2"/>
    </row>
  </sheetData>
  <sheetProtection password="DFE9" sheet="1" objects="1" scenarios="1"/>
  <mergeCells count="5">
    <mergeCell ref="B3:H4"/>
    <mergeCell ref="B8:H8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8"/>
  <dimension ref="A1:I21"/>
  <sheetViews>
    <sheetView showGridLines="0" view="pageLayout" zoomScaleNormal="100" workbookViewId="0"/>
  </sheetViews>
  <sheetFormatPr defaultRowHeight="15" x14ac:dyDescent="0.25"/>
  <cols>
    <col min="1" max="1" width="7.85546875" style="3" customWidth="1"/>
    <col min="2" max="3" width="9.140625" style="3"/>
    <col min="4" max="4" width="15.7109375" style="3" customWidth="1"/>
    <col min="5" max="5" width="9.140625" style="3"/>
    <col min="6" max="6" width="13.5703125" style="3" customWidth="1"/>
    <col min="7" max="7" width="10.28515625" style="3" customWidth="1"/>
    <col min="8" max="8" width="3.28515625" style="3" customWidth="1"/>
    <col min="9" max="9" width="7.85546875" style="3" customWidth="1"/>
    <col min="10" max="16384" width="9.140625" style="3"/>
  </cols>
  <sheetData>
    <row r="1" spans="1:9" x14ac:dyDescent="0.25">
      <c r="A1" s="2"/>
      <c r="B1" s="2"/>
      <c r="C1" s="2"/>
      <c r="D1" s="2"/>
      <c r="E1" s="2"/>
      <c r="F1" s="2"/>
      <c r="G1" s="2"/>
      <c r="H1" s="2"/>
      <c r="I1" s="2"/>
    </row>
    <row r="2" spans="1:9" x14ac:dyDescent="0.25">
      <c r="A2" s="2"/>
      <c r="B2" s="2"/>
      <c r="C2" s="2"/>
      <c r="D2" s="2"/>
      <c r="E2" s="2"/>
      <c r="F2" s="2"/>
      <c r="G2" s="2"/>
      <c r="H2" s="2"/>
      <c r="I2" s="2"/>
    </row>
    <row r="3" spans="1:9" ht="15" customHeight="1" x14ac:dyDescent="0.25">
      <c r="A3" s="2"/>
      <c r="B3" s="98" t="s">
        <v>72</v>
      </c>
      <c r="C3" s="98"/>
      <c r="D3" s="98"/>
      <c r="E3" s="98"/>
      <c r="F3" s="98"/>
      <c r="G3" s="98"/>
      <c r="H3" s="98"/>
      <c r="I3" s="2"/>
    </row>
    <row r="4" spans="1:9" ht="15" customHeight="1" x14ac:dyDescent="0.25">
      <c r="A4" s="2"/>
      <c r="B4" s="98"/>
      <c r="C4" s="98"/>
      <c r="D4" s="98"/>
      <c r="E4" s="98"/>
      <c r="F4" s="98"/>
      <c r="G4" s="98"/>
      <c r="H4" s="98"/>
      <c r="I4" s="2"/>
    </row>
    <row r="5" spans="1:9" x14ac:dyDescent="0.25">
      <c r="A5" s="2"/>
      <c r="B5" s="2"/>
      <c r="C5" s="2"/>
      <c r="D5" s="2"/>
      <c r="E5" s="2"/>
      <c r="F5" s="2"/>
      <c r="G5" s="2"/>
      <c r="H5" s="2"/>
      <c r="I5" s="2"/>
    </row>
    <row r="6" spans="1:9" x14ac:dyDescent="0.25">
      <c r="A6" s="2"/>
      <c r="B6" s="2"/>
      <c r="C6" s="2"/>
      <c r="D6" s="2"/>
      <c r="E6" s="2"/>
      <c r="F6" s="2"/>
      <c r="G6" s="2"/>
      <c r="H6" s="2"/>
      <c r="I6" s="2"/>
    </row>
    <row r="7" spans="1:9" x14ac:dyDescent="0.25">
      <c r="A7" s="2"/>
      <c r="B7" s="2"/>
      <c r="C7" s="2"/>
      <c r="D7" s="2"/>
      <c r="E7" s="2"/>
      <c r="F7" s="2"/>
      <c r="G7" s="2"/>
      <c r="H7" s="2"/>
      <c r="I7" s="2"/>
    </row>
    <row r="8" spans="1:9" x14ac:dyDescent="0.25">
      <c r="A8" s="2"/>
      <c r="B8" s="112" t="s">
        <v>53</v>
      </c>
      <c r="C8" s="113"/>
      <c r="D8" s="113"/>
      <c r="E8" s="113"/>
      <c r="F8" s="113"/>
      <c r="G8" s="113"/>
      <c r="H8" s="114"/>
      <c r="I8" s="2"/>
    </row>
    <row r="9" spans="1:9" x14ac:dyDescent="0.25">
      <c r="A9" s="2"/>
      <c r="B9" s="123" t="s">
        <v>47</v>
      </c>
      <c r="C9" s="124"/>
      <c r="D9" s="124"/>
      <c r="E9" s="124"/>
      <c r="F9" s="125"/>
      <c r="G9" s="12">
        <f>'Fane 3. Korrigeret grundlag'!G9+(SUM('Fane 2.1. Økonomisk ramme 2018'!E13,'Fane 2.1. Økonomisk ramme 2018'!E14,'Fane 2.1. Økonomisk ramme 2018'!E17))</f>
        <v>9717145.150082238</v>
      </c>
      <c r="H9" s="23" t="s">
        <v>4</v>
      </c>
      <c r="I9" s="2"/>
    </row>
    <row r="10" spans="1:9" x14ac:dyDescent="0.25">
      <c r="A10" s="2"/>
      <c r="B10" s="52" t="s">
        <v>187</v>
      </c>
      <c r="C10" s="53"/>
      <c r="D10" s="53"/>
      <c r="E10" s="53"/>
      <c r="F10" s="54"/>
      <c r="G10" s="12">
        <v>-194342.90174758001</v>
      </c>
      <c r="H10" s="23" t="s">
        <v>4</v>
      </c>
      <c r="I10" s="2"/>
    </row>
    <row r="11" spans="1:9" x14ac:dyDescent="0.25">
      <c r="A11" s="2"/>
      <c r="B11" s="102" t="s">
        <v>16</v>
      </c>
      <c r="C11" s="103"/>
      <c r="D11" s="103"/>
      <c r="E11" s="103"/>
      <c r="F11" s="104"/>
      <c r="G11" s="37">
        <f>2</f>
        <v>2</v>
      </c>
      <c r="H11" s="23" t="s">
        <v>38</v>
      </c>
      <c r="I11" s="2"/>
    </row>
    <row r="12" spans="1:9" x14ac:dyDescent="0.25">
      <c r="A12" s="2"/>
      <c r="B12" s="109" t="s">
        <v>39</v>
      </c>
      <c r="C12" s="110"/>
      <c r="D12" s="110"/>
      <c r="E12" s="110"/>
      <c r="F12" s="111"/>
      <c r="G12" s="18">
        <f>($G$9+$G$10)*(1+'Fane 2.1. Økonomisk ramme 2018'!E19/100)*$G$11/100</f>
        <v>193789.02575361027</v>
      </c>
      <c r="H12" s="38" t="s">
        <v>4</v>
      </c>
      <c r="I12" s="2"/>
    </row>
    <row r="13" spans="1:9" x14ac:dyDescent="0.25">
      <c r="A13" s="2"/>
      <c r="B13" s="102" t="s">
        <v>48</v>
      </c>
      <c r="C13" s="103"/>
      <c r="D13" s="103"/>
      <c r="E13" s="103"/>
      <c r="F13" s="104"/>
      <c r="G13" s="12">
        <f>'Fane 3. Korrigeret grundlag'!G10+SUM('Fane 2.1. Økonomisk ramme 2018'!E15,'Fane 2.1. Økonomisk ramme 2018'!E18)</f>
        <v>4733456.6621870361</v>
      </c>
      <c r="H13" s="23" t="s">
        <v>4</v>
      </c>
      <c r="I13" s="2"/>
    </row>
    <row r="14" spans="1:9" x14ac:dyDescent="0.25">
      <c r="A14" s="2"/>
      <c r="B14" s="48" t="s">
        <v>189</v>
      </c>
      <c r="C14" s="49"/>
      <c r="D14" s="49"/>
      <c r="E14" s="49"/>
      <c r="F14" s="50"/>
      <c r="G14" s="12">
        <v>-40362.549815709659</v>
      </c>
      <c r="H14" s="23" t="s">
        <v>4</v>
      </c>
      <c r="I14" s="2"/>
    </row>
    <row r="15" spans="1:9" x14ac:dyDescent="0.25">
      <c r="A15" s="2"/>
      <c r="B15" s="102" t="s">
        <v>16</v>
      </c>
      <c r="C15" s="103"/>
      <c r="D15" s="103"/>
      <c r="E15" s="103"/>
      <c r="F15" s="104"/>
      <c r="G15" s="30">
        <v>1.77</v>
      </c>
      <c r="H15" s="23" t="s">
        <v>38</v>
      </c>
      <c r="I15" s="2"/>
    </row>
    <row r="16" spans="1:9" x14ac:dyDescent="0.25">
      <c r="A16" s="2"/>
      <c r="B16" s="109" t="s">
        <v>40</v>
      </c>
      <c r="C16" s="110"/>
      <c r="D16" s="110"/>
      <c r="E16" s="110"/>
      <c r="F16" s="111"/>
      <c r="G16" s="18">
        <f>($G$13+$G$14)*(1+'Fane 2.1. Økonomisk ramme 2018'!E19/100)*$G$15/100</f>
        <v>84521.4516902795</v>
      </c>
      <c r="H16" s="38" t="s">
        <v>4</v>
      </c>
      <c r="I16" s="2"/>
    </row>
    <row r="17" spans="1:9" x14ac:dyDescent="0.25">
      <c r="A17" s="2"/>
      <c r="B17" s="112" t="s">
        <v>52</v>
      </c>
      <c r="C17" s="113"/>
      <c r="D17" s="113"/>
      <c r="E17" s="113"/>
      <c r="F17" s="114"/>
      <c r="G17" s="21">
        <f>G12+G16</f>
        <v>278310.47744388977</v>
      </c>
      <c r="H17" s="22" t="s">
        <v>4</v>
      </c>
      <c r="I17" s="2"/>
    </row>
    <row r="18" spans="1:9" x14ac:dyDescent="0.25">
      <c r="A18" s="2"/>
      <c r="B18" s="2"/>
      <c r="C18" s="2"/>
      <c r="D18" s="2"/>
      <c r="E18" s="2"/>
      <c r="F18" s="2"/>
      <c r="G18" s="2"/>
      <c r="H18" s="2"/>
      <c r="I18" s="2"/>
    </row>
    <row r="19" spans="1:9" x14ac:dyDescent="0.25">
      <c r="A19" s="2"/>
      <c r="B19" s="2"/>
      <c r="C19" s="2"/>
      <c r="D19" s="2"/>
      <c r="E19" s="2"/>
      <c r="F19" s="2"/>
      <c r="G19" s="2"/>
      <c r="H19" s="2"/>
      <c r="I19" s="2"/>
    </row>
    <row r="20" spans="1:9" x14ac:dyDescent="0.25">
      <c r="A20" s="2"/>
      <c r="B20" s="2"/>
      <c r="C20" s="2"/>
      <c r="D20" s="2"/>
      <c r="E20" s="2"/>
      <c r="F20" s="2"/>
      <c r="G20" s="2"/>
      <c r="H20" s="2"/>
      <c r="I20" s="2"/>
    </row>
    <row r="21" spans="1:9" x14ac:dyDescent="0.25">
      <c r="A21" s="2"/>
      <c r="B21" s="2"/>
      <c r="C21" s="2"/>
      <c r="D21" s="2"/>
      <c r="E21" s="2"/>
      <c r="F21" s="2"/>
      <c r="G21" s="2"/>
      <c r="H21" s="2"/>
      <c r="I21" s="2"/>
    </row>
  </sheetData>
  <sheetProtection password="DFE9" sheet="1" objects="1" scenarios="1"/>
  <mergeCells count="9">
    <mergeCell ref="B3:H4"/>
    <mergeCell ref="B8:H8"/>
    <mergeCell ref="B17:F17"/>
    <mergeCell ref="B16:F16"/>
    <mergeCell ref="B15:F15"/>
    <mergeCell ref="B13:F13"/>
    <mergeCell ref="B12:F12"/>
    <mergeCell ref="B11:F11"/>
    <mergeCell ref="B9:F9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17</vt:i4>
      </vt:variant>
    </vt:vector>
  </HeadingPairs>
  <TitlesOfParts>
    <vt:vector size="17" baseType="lpstr">
      <vt:lpstr>1. Forside</vt:lpstr>
      <vt:lpstr>Fane 2.1. Økonomisk ramme 2018</vt:lpstr>
      <vt:lpstr>Fane 2.2. Økonomisk ramme 2019</vt:lpstr>
      <vt:lpstr>Fane 2.3. Økonomisk ramme 2020</vt:lpstr>
      <vt:lpstr>Fane 2.4. Økonomisk ramme 2021</vt:lpstr>
      <vt:lpstr>Fane 3. Korrigeret grundlag</vt:lpstr>
      <vt:lpstr>Fane 4. Ikke-påvirkelige omk.</vt:lpstr>
      <vt:lpstr>Fane 5. Individuelt eff.krav</vt:lpstr>
      <vt:lpstr>Fane 6. Generelt eff.krav</vt:lpstr>
      <vt:lpstr>Fane 7. Hist. over el. underdæk</vt:lpstr>
      <vt:lpstr>Fane 8. Gen. inv. i 2016</vt:lpstr>
      <vt:lpstr>Fane 9. Korrektion af PL2016</vt:lpstr>
      <vt:lpstr>Fane 10. Kontrol af PL2016</vt:lpstr>
      <vt:lpstr>Fane 11. Tillæg</vt:lpstr>
      <vt:lpstr>Fane 12. Bortfald</vt:lpstr>
      <vt:lpstr>Fane 13. Driftsunderskud</vt:lpstr>
      <vt:lpstr>Fane 14. Investeringstillæg</vt:lpstr>
    </vt:vector>
  </TitlesOfParts>
  <Company>Statens 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Katrine Stagaard</dc:creator>
  <cp:lastModifiedBy>Emil Heesche</cp:lastModifiedBy>
  <cp:lastPrinted>2016-06-14T12:57:30Z</cp:lastPrinted>
  <dcterms:created xsi:type="dcterms:W3CDTF">2016-06-02T08:51:18Z</dcterms:created>
  <dcterms:modified xsi:type="dcterms:W3CDTF">2017-10-13T15:47:16Z</dcterms:modified>
</cp:coreProperties>
</file>